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на июнь" sheetId="1" r:id="rId1"/>
  </sheets>
  <definedNames/>
  <calcPr fullCalcOnLoad="1"/>
</workbook>
</file>

<file path=xl/sharedStrings.xml><?xml version="1.0" encoding="utf-8"?>
<sst xmlns="http://schemas.openxmlformats.org/spreadsheetml/2006/main" count="284" uniqueCount="278">
  <si>
    <r>
      <t xml:space="preserve">Капитальный ремонт помещений 2-го этажа, расположенного в с.Принцевка ул.Центральная д.52 Валуйского городского округа                                                                            </t>
    </r>
    <r>
      <rPr>
        <i/>
        <sz val="10"/>
        <rFont val="Times New Roman"/>
        <family val="1"/>
      </rPr>
      <t>(Адм. Вал.гор.округа)                                                                                                               (0801 0810622110 243 225/2250503   Доп.ФК 15.04.67)</t>
    </r>
  </si>
  <si>
    <t>3.2.2.2.</t>
  </si>
  <si>
    <r>
      <t xml:space="preserve">Капитальный ремонт помещений 2-го этажа, расположенного в с.Принцевка ул.Центральная д.52 Валуйского городского округа                                                                          </t>
    </r>
    <r>
      <rPr>
        <i/>
        <sz val="10"/>
        <rFont val="Times New Roman"/>
        <family val="1"/>
      </rPr>
      <t>(Адм. Вал.гор.округа)                                                                                                               (0801 0810672120/08106S2120 243 225/2250503                                         Доп.ФК 15.04.67)</t>
    </r>
  </si>
  <si>
    <t>3.2.3.</t>
  </si>
  <si>
    <r>
      <t xml:space="preserve">Капитальный ремонт ЦКР с.Казинка филиал МУК "ДК и С"                                                                  </t>
    </r>
    <r>
      <rPr>
        <i/>
        <sz val="10"/>
        <rFont val="Times New Roman"/>
        <family val="1"/>
      </rPr>
      <t xml:space="preserve">                         (Адм. Вал.гор.округа)                                                                                                               (0801 0830572120/08305S2120 243 225/2250503                                                                                             Доп.ФК 15.04.59) </t>
    </r>
  </si>
  <si>
    <t>3.3.</t>
  </si>
  <si>
    <t>Капитальный ремонт объектов физической культуры и спорта</t>
  </si>
  <si>
    <t>3.3.1.</t>
  </si>
  <si>
    <r>
      <t xml:space="preserve">Капитальный ремонт здания  МБУ "Валуйский ФОК"  г.Валуйки                                                                       </t>
    </r>
    <r>
      <rPr>
        <i/>
        <sz val="10"/>
        <rFont val="Times New Roman"/>
        <family val="1"/>
      </rPr>
      <t xml:space="preserve">                         (Адм. Вал.гор.округа)                                                                                                               (1105 1010172120/10101S2120 243 225/2250503                                                                                             Доп.ФК 15.04.42) </t>
    </r>
  </si>
  <si>
    <t>3.3.2.</t>
  </si>
  <si>
    <r>
      <t xml:space="preserve">Капитальный ремонт многофункциональной спортивной площадки в с. Шелаево Валуйского городского округа                                                                     </t>
    </r>
    <r>
      <rPr>
        <i/>
        <sz val="10"/>
        <rFont val="Times New Roman"/>
        <family val="1"/>
      </rPr>
      <t xml:space="preserve">                         (Адм. Вал.гор.округа)                                                                                                               (1105 1010172120/10101S2120 243 225/2250503                                                                                             Доп.ФК 15.04.60) </t>
    </r>
  </si>
  <si>
    <t>3.3.3.</t>
  </si>
  <si>
    <r>
      <t xml:space="preserve">Устройство ограждения стадиона в с. Солоти Валуйского городского округа                                                                     </t>
    </r>
    <r>
      <rPr>
        <i/>
        <sz val="10"/>
        <rFont val="Times New Roman"/>
        <family val="1"/>
      </rPr>
      <t xml:space="preserve">                         (МКУ "Валуйский ОКС")                                                                                                               (0412 9990000590 244 226/2260200                                                                                             Доп.ФК 15.04.62) </t>
    </r>
  </si>
  <si>
    <t>4.</t>
  </si>
  <si>
    <t>Разработка ПСД, ПИР, проведение экспертиз</t>
  </si>
  <si>
    <t>4.1.</t>
  </si>
  <si>
    <r>
      <t xml:space="preserve">Разработка проекта внесения изменений в генеральный план Валуйского городского округа                                                                      </t>
    </r>
    <r>
      <rPr>
        <i/>
        <sz val="10"/>
        <rFont val="Times New Roman"/>
        <family val="1"/>
      </rPr>
      <t>(Адм. Вал.гор.округа)                                                                                                        (0412 9990060460 244 226/2260106   Доп.ФК 04.08.06)</t>
    </r>
  </si>
  <si>
    <t>4.2.</t>
  </si>
  <si>
    <r>
      <t xml:space="preserve">Разработка проекта внесения изменений в ПЗЗ Валуйского городского округа                                                                          </t>
    </r>
    <r>
      <rPr>
        <i/>
        <sz val="10"/>
        <rFont val="Times New Roman"/>
        <family val="1"/>
      </rPr>
      <t xml:space="preserve"> (Адм. Вал.гор.округа)                                                                                                                               (0412 9990060460 244 226/2260106   Доп.ФК 04.08.06)</t>
    </r>
  </si>
  <si>
    <t>4.3.</t>
  </si>
  <si>
    <r>
      <t xml:space="preserve">Разработка и прохождение экспертизы ПСД по объектам в рамках  реализации программы "Формирование современной городской среды"                                                                                     </t>
    </r>
    <r>
      <rPr>
        <i/>
        <sz val="10"/>
        <color indexed="8"/>
        <rFont val="Times New Roman"/>
        <family val="1"/>
      </rPr>
      <t>(Адм. Вал.гор.округа)                                                                                                                              (0503 1310125550 244 226/2260411 Доп.ФК 05.03.20)</t>
    </r>
  </si>
  <si>
    <t>4.4.</t>
  </si>
  <si>
    <r>
      <t xml:space="preserve">Разработка и прохождение экспертизы ПСД по объекту "  Капитальный ремонт МОУ "СОШ №1" г.Валуйки, Белгородской области"                                                                                                  </t>
    </r>
    <r>
      <rPr>
        <i/>
        <sz val="10"/>
        <color indexed="8"/>
        <rFont val="Times New Roman"/>
        <family val="1"/>
      </rPr>
      <t>(Адм. Вал.гор.округа)                                                                                                                                  (0702 0720722110 243 226/2260411 Доп.ФК 15.04.31)</t>
    </r>
  </si>
  <si>
    <t>4.5.</t>
  </si>
  <si>
    <r>
      <t xml:space="preserve">Разработка и прохождение экспертизы ПСД по объекту "Капитальный ремонт МОУ "Уразовская СОШ №2" пгт. Уразово Валуйского городского округа"                                                                                                 </t>
    </r>
    <r>
      <rPr>
        <i/>
        <sz val="10"/>
        <color indexed="8"/>
        <rFont val="Times New Roman"/>
        <family val="1"/>
      </rPr>
      <t>(Адм. Вал.гор.округа)                                                                                                                                  (0702 0720722110 243 226/2260411 Доп.ФК 15.04.32)</t>
    </r>
  </si>
  <si>
    <t>4.6.</t>
  </si>
  <si>
    <r>
      <t xml:space="preserve">Разработка и прохождение экспертизы ПСД по объекту "Ремонт кровель Домов Культуры на территории Валуйского городского округа"                                                                                                 </t>
    </r>
    <r>
      <rPr>
        <i/>
        <sz val="10"/>
        <color indexed="8"/>
        <rFont val="Times New Roman"/>
        <family val="1"/>
      </rPr>
      <t>(Адм. Вал.гор.округа)                                                                                                                                  (0801 0830522110 243 226/2260411 Доп.ФК 08.01.03)</t>
    </r>
  </si>
  <si>
    <t>4.7.</t>
  </si>
  <si>
    <r>
      <t xml:space="preserve">Разработка и прохождение экспертизы ПСД по объекту "Ремонт игровой хоккейной площадки в с.Шелаево Валуйского городского округа Белгородской области"                                                                                                 </t>
    </r>
    <r>
      <rPr>
        <i/>
        <sz val="10"/>
        <color indexed="8"/>
        <rFont val="Times New Roman"/>
        <family val="1"/>
      </rPr>
      <t xml:space="preserve">(Адм. Вал.гор.округа)                                                                                                                             </t>
    </r>
    <r>
      <rPr>
        <i/>
        <sz val="10"/>
        <color indexed="10"/>
        <rFont val="Times New Roman"/>
        <family val="1"/>
      </rPr>
      <t xml:space="preserve">     </t>
    </r>
    <r>
      <rPr>
        <i/>
        <sz val="10"/>
        <rFont val="Times New Roman"/>
        <family val="1"/>
      </rPr>
      <t>(0503 0230122220 244</t>
    </r>
    <r>
      <rPr>
        <i/>
        <sz val="10"/>
        <color indexed="10"/>
        <rFont val="Times New Roman"/>
        <family val="1"/>
      </rPr>
      <t xml:space="preserve"> </t>
    </r>
    <r>
      <rPr>
        <i/>
        <sz val="10"/>
        <rFont val="Times New Roman"/>
        <family val="1"/>
      </rPr>
      <t>226/2260411 Доп.ФК 05.03.20)</t>
    </r>
  </si>
  <si>
    <t>4.8.</t>
  </si>
  <si>
    <r>
      <t xml:space="preserve">Разработка рабочей документации по объекту "Ремонт объекта культурного наследия регионального значения "Братская могила советских воинов, погибших в боях с фашистскими захватчиками в 1943 году. Захоронено 3 человека, установлены имена 3 человек. Скульптура советского воина" в с.Хмелевец Валуйского района Белгородской области"                                                                                                 </t>
    </r>
    <r>
      <rPr>
        <i/>
        <sz val="10"/>
        <color indexed="8"/>
        <rFont val="Times New Roman"/>
        <family val="1"/>
      </rPr>
      <t xml:space="preserve">(Тимоновская т/а)                                                                                                                             </t>
    </r>
    <r>
      <rPr>
        <i/>
        <sz val="10"/>
        <color indexed="10"/>
        <rFont val="Times New Roman"/>
        <family val="1"/>
      </rPr>
      <t xml:space="preserve">     </t>
    </r>
    <r>
      <rPr>
        <i/>
        <sz val="10"/>
        <rFont val="Times New Roman"/>
        <family val="1"/>
      </rPr>
      <t>(0804 0840622990 244 226/2260411 Доп.ФК 08.00.00)</t>
    </r>
  </si>
  <si>
    <t>4.9.</t>
  </si>
  <si>
    <r>
      <t xml:space="preserve">Разработка и прохождение экспертизы ПСД по объекту "Капитальный ремонт помещений 2-го этажа, расположенного в с.Принцевка ул.Центральная д.52 Валуйского городского округа"                                                                                                 </t>
    </r>
    <r>
      <rPr>
        <i/>
        <sz val="10"/>
        <color indexed="8"/>
        <rFont val="Times New Roman"/>
        <family val="1"/>
      </rPr>
      <t>(А</t>
    </r>
    <r>
      <rPr>
        <i/>
        <sz val="10"/>
        <rFont val="Times New Roman"/>
        <family val="1"/>
      </rPr>
      <t>дм. Вал.гор.округа)                                                                                                                                  (0412 9990022110 244 226/2260411 Доп.ФК 04.00.00)</t>
    </r>
  </si>
  <si>
    <t>4.10.</t>
  </si>
  <si>
    <r>
      <t xml:space="preserve">Разработка дизайн-проекта фасадов здания, эскизного дизайн-проекта интерьеров части помещений , проекта благоустройства территории объекта "Капитальный ремонт "МДОУ детский сад комбинированного вида №3" г.Валуйки, ул.М.Горького,д.96"                                                                                </t>
    </r>
    <r>
      <rPr>
        <i/>
        <sz val="10"/>
        <color indexed="8"/>
        <rFont val="Times New Roman"/>
        <family val="1"/>
      </rPr>
      <t>(А</t>
    </r>
    <r>
      <rPr>
        <i/>
        <sz val="10"/>
        <rFont val="Times New Roman"/>
        <family val="1"/>
      </rPr>
      <t>дм. Вал.гор.округа)                                                                                                                                  (0701 0710422110 244 226/2260411 Доп.ФК 15.04.30)</t>
    </r>
  </si>
  <si>
    <t>4.11.</t>
  </si>
  <si>
    <r>
      <t xml:space="preserve">Проверка достоверности определения сметной стоимости и расчета индекса удорожания СМР по объекту: "Текущий ремонт шахтных колодцев (101 штука) на территрии Валуйского городского округа Белгородской области"                                                                         </t>
    </r>
    <r>
      <rPr>
        <i/>
        <sz val="10"/>
        <rFont val="Times New Roman"/>
        <family val="1"/>
      </rPr>
      <t>(Адм. Вал.гор.округа)                                                                                                                               (0503 0220721440 244 226/2260411  Доп.ФК 05.03.20)</t>
    </r>
  </si>
  <si>
    <t>4.12.</t>
  </si>
  <si>
    <r>
      <t xml:space="preserve">Проверка достоверности определения сметной стоимости строительно-монтажных работ и  расчета индекса удорожания сметной стоимости строительно-монтажных работ к базисным ценам по объекту: «Капитальный ремонт МОУ «Принцевская СОШ» Валуйского района Белгородской области»                                                                             </t>
    </r>
    <r>
      <rPr>
        <i/>
        <sz val="10"/>
        <rFont val="Times New Roman"/>
        <family val="1"/>
      </rPr>
      <t>(Адм. Вал.гор.округа)                                                                                                                               (0702 0720722110 243 226/2260411 Доп.ФК 07.01.02)</t>
    </r>
  </si>
  <si>
    <t>4.13.</t>
  </si>
  <si>
    <r>
      <t xml:space="preserve">Корректировка проекта "Благоустройство общественой территории дендрологического парка и набережной в городе Валуйки по улице Степана Разина"                                                                                    </t>
    </r>
    <r>
      <rPr>
        <i/>
        <sz val="10"/>
        <rFont val="Times New Roman"/>
        <family val="1"/>
      </rPr>
      <t>(Адм. Вал.гор.округа)                                                                                                                               (0503 0230122220 244 226/2260411 Доп.ФК 05.03.20)</t>
    </r>
  </si>
  <si>
    <t>4.14.</t>
  </si>
  <si>
    <r>
      <t xml:space="preserve">Разработка дизайн-проекта фасадов здания, эскизного дизайн-проекта интерьеров части помещений и концепцию благоустройства по объекту "Капитальный ремонт МОУ "Уразовская СОШ №2" пгт. Уразово Валуйского городского округа                                                                                                       </t>
    </r>
    <r>
      <rPr>
        <i/>
        <sz val="10"/>
        <color indexed="8"/>
        <rFont val="Times New Roman"/>
        <family val="1"/>
      </rPr>
      <t>(А</t>
    </r>
    <r>
      <rPr>
        <i/>
        <sz val="10"/>
        <rFont val="Times New Roman"/>
        <family val="1"/>
      </rPr>
      <t>дм. Вал.гор.округа)                                                                                                                                  (0702 0720722110 244 226/2260411 Доп.ФК 15.04.32)</t>
    </r>
  </si>
  <si>
    <t>4.15.</t>
  </si>
  <si>
    <r>
      <t xml:space="preserve">Проведение проверки достоверности определения сметной стоимости  по объектам:  "Устройство сетей наружного освещения на территории Валуйского городского округа"                                                              </t>
    </r>
    <r>
      <rPr>
        <i/>
        <sz val="10"/>
        <color indexed="8"/>
        <rFont val="Times New Roman"/>
        <family val="1"/>
      </rPr>
      <t>(Адм. Вал.гор.округа)                                                                                                                                  (0503 0220221340/0220220550 244 226/2260411 Доп.ФК 05.03.20)</t>
    </r>
  </si>
  <si>
    <t>4.16.</t>
  </si>
  <si>
    <r>
      <t xml:space="preserve">Разработка и прохождение экспертизы ПСД по объекту "Ремонт кровли МОУ "Казначеевская СОШ ", расположенной на территории Валуйского городского округа"                                                                                               </t>
    </r>
    <r>
      <rPr>
        <i/>
        <sz val="10"/>
        <color indexed="8"/>
        <rFont val="Times New Roman"/>
        <family val="1"/>
      </rPr>
      <t>(Адм. Вал.гор.округа)                                                                                                                                  (0702 0720722110 244 226/2260411 Доп.ФК 07.01.02)</t>
    </r>
  </si>
  <si>
    <t>4.17.</t>
  </si>
  <si>
    <r>
      <t xml:space="preserve">Разработка и прохождение экспертизы ПСД по объекту "Устройство пешеходного перехода через яр в с.Бирюч Валуйского городского округа"                                                                                                 </t>
    </r>
    <r>
      <rPr>
        <i/>
        <sz val="10"/>
        <color indexed="8"/>
        <rFont val="Times New Roman"/>
        <family val="1"/>
      </rPr>
      <t>(Адм. Вал.гор.округа)                                                                                                                                  (0503 0230122220 244 226/2260411 Доп.ФК 05.03.20)</t>
    </r>
  </si>
  <si>
    <t>4.18.</t>
  </si>
  <si>
    <r>
      <t xml:space="preserve">Разработка и прохождение экспертизы ПСД по объекту "Обустройство детской площадки в с.Колосково Валуйского городского округа"                                                                                                 </t>
    </r>
    <r>
      <rPr>
        <i/>
        <sz val="10"/>
        <color indexed="8"/>
        <rFont val="Times New Roman"/>
        <family val="1"/>
      </rPr>
      <t xml:space="preserve">(Адм. Вал.гор.округа)                                                                                                                             </t>
    </r>
    <r>
      <rPr>
        <i/>
        <sz val="10"/>
        <color indexed="10"/>
        <rFont val="Times New Roman"/>
        <family val="1"/>
      </rPr>
      <t xml:space="preserve">     </t>
    </r>
    <r>
      <rPr>
        <i/>
        <sz val="10"/>
        <rFont val="Times New Roman"/>
        <family val="1"/>
      </rPr>
      <t>(0503 0230122220 244</t>
    </r>
    <r>
      <rPr>
        <i/>
        <sz val="10"/>
        <color indexed="10"/>
        <rFont val="Times New Roman"/>
        <family val="1"/>
      </rPr>
      <t xml:space="preserve"> </t>
    </r>
    <r>
      <rPr>
        <i/>
        <sz val="10"/>
        <color indexed="8"/>
        <rFont val="Times New Roman"/>
        <family val="1"/>
      </rPr>
      <t>226/2260411 Доп.ФК 05.03.20)</t>
    </r>
  </si>
  <si>
    <t>4.19.</t>
  </si>
  <si>
    <r>
      <t xml:space="preserve">Проведение проверки достоверности определения сметной стоимости  по объекту:  "Ремонт крыши библиотеки (Филиал ДШИ) в микрорайоне Соцгород, расположенной по адресу ул.Курячего,22 в г.Валуйки"                                                                             </t>
    </r>
    <r>
      <rPr>
        <i/>
        <sz val="10"/>
        <color indexed="8"/>
        <rFont val="Times New Roman"/>
        <family val="1"/>
      </rPr>
      <t>(Адм. Вал.гор.округа)                                                                                                                                  (0703 0730122110 244 226/2260411 Доп.ФК 07.01.05)</t>
    </r>
  </si>
  <si>
    <t>4.20.</t>
  </si>
  <si>
    <r>
      <t xml:space="preserve">Проведение проверки достоверности определения сметной стоимости  по объекту:  "Устройство ограждения вокруг школьного стадиона в с.Бутырки"                                                                             </t>
    </r>
    <r>
      <rPr>
        <i/>
        <sz val="10"/>
        <color indexed="8"/>
        <rFont val="Times New Roman"/>
        <family val="1"/>
      </rPr>
      <t>(Адм. Вал.гор.округа)                                                                                                                                  (0702 0720222130 244 226/2260411 Доп.ФК 07.01.02)</t>
    </r>
  </si>
  <si>
    <t>4.21.</t>
  </si>
  <si>
    <r>
      <t xml:space="preserve">Проведение проверки достоверности определения сметной стоимости  по объекту:  "Устройство ограждения вокруг Д/С в с.Новопетровка"                                                                             </t>
    </r>
    <r>
      <rPr>
        <i/>
        <sz val="10"/>
        <color indexed="8"/>
        <rFont val="Times New Roman"/>
        <family val="1"/>
      </rPr>
      <t>(Адм. Вал.гор.округа)                                                                                                                                  (0701 0710122130 244 226/2260411 Доп.ФК 07.01.01)</t>
    </r>
  </si>
  <si>
    <t>4.22.</t>
  </si>
  <si>
    <r>
      <t xml:space="preserve">Проведение проверки достоверности определения сметной стоимости  по объекту:  "Устройство модуля пожарной части на территории Тимоновской территориальной администрации"                                                                             </t>
    </r>
    <r>
      <rPr>
        <i/>
        <sz val="10"/>
        <color indexed="8"/>
        <rFont val="Times New Roman"/>
        <family val="1"/>
      </rPr>
      <t>(Адм. Вал.гор.округа)                                                                                                                                  (0310 0410220370 244 226/2260411 Доп.ФК 03.00.00)</t>
    </r>
  </si>
  <si>
    <t>4.23.</t>
  </si>
  <si>
    <r>
      <t xml:space="preserve">Проведение проверки достоверности определения сметной стоимости  по объекту:  "Капитальный ремонт многофункциональной спортивной площадки в с.Шелаево Валуйского городского округа"                                                                             </t>
    </r>
    <r>
      <rPr>
        <i/>
        <sz val="10"/>
        <color indexed="8"/>
        <rFont val="Times New Roman"/>
        <family val="1"/>
      </rPr>
      <t>(Адм. Вал.гор.округа)                                                                                                                                  (1105 1010122110 243 226/2260411 Доп.ФК 15.04.60)</t>
    </r>
  </si>
  <si>
    <t>4.24.</t>
  </si>
  <si>
    <r>
      <t xml:space="preserve">Проектные работы по объекту:  "Строительство административно-бытового корпуса в г.Валуйки по ул.Соколова,1/4"                                                                             </t>
    </r>
    <r>
      <rPr>
        <i/>
        <sz val="10"/>
        <color indexed="8"/>
        <rFont val="Times New Roman"/>
        <family val="1"/>
      </rPr>
      <t>(Адм. Вал.гор.округа)                                                                                                                                  (0113 9990021120 244 226/2260404 Доп.ФК 01.00.00)</t>
    </r>
  </si>
  <si>
    <t>4.25.</t>
  </si>
  <si>
    <r>
      <t xml:space="preserve">Работы по проектированию:  "Архитектурно-художественная концепция ул.1 Мая от ул.Октябрьская до ул.Тимирязева в г.Валуйки"                                                                                                             </t>
    </r>
    <r>
      <rPr>
        <i/>
        <sz val="10"/>
        <color indexed="8"/>
        <rFont val="Times New Roman"/>
        <family val="1"/>
      </rPr>
      <t>(Адм. Вал.гор.округа)                                                                                                                                  (0503 0230122220 244 226/2260411 Доп.ФК 05.03.20)</t>
    </r>
  </si>
  <si>
    <t>4.26.</t>
  </si>
  <si>
    <r>
      <t xml:space="preserve">Проведение проверки достоверности определения сметной стоимости  по объекту:  "Капитальный ремонт спортивного зала МОУ "Селивановская ООШ" Валуйского района Белгородской области"                                                                                                     </t>
    </r>
    <r>
      <rPr>
        <i/>
        <sz val="10"/>
        <color indexed="8"/>
        <rFont val="Times New Roman"/>
        <family val="1"/>
      </rPr>
      <t>(Адм. Вал.гор.округа)                                                                                                                                  (0702 0720722110 243 226/2260411 Доп.ФК 07.01.02)</t>
    </r>
  </si>
  <si>
    <t>4.27.</t>
  </si>
  <si>
    <r>
      <t xml:space="preserve">Проведение проверки достоверности определения сметной стоимости  по объекту:  "Капитальный ремонт спортивного зала МОУ "Новопетровская СОШ" Валуйского района Белгородской области"                                                                                                 </t>
    </r>
    <r>
      <rPr>
        <i/>
        <sz val="10"/>
        <color indexed="8"/>
        <rFont val="Times New Roman"/>
        <family val="1"/>
      </rPr>
      <t>(Адм. Вал.гор.округа)                                                                                                                                  (0702 0720722110 243 226/2260411 Доп.ФК 07.01.02)</t>
    </r>
  </si>
  <si>
    <t>4.28.</t>
  </si>
  <si>
    <r>
      <t xml:space="preserve">Проведение проверки достоверности определения сметной стоимости  по объекту:  "Капитальный ремонт спортивного зала МОУ "Подгоренская ООШ" Валуйского района Белгородской области"                                                                                             </t>
    </r>
    <r>
      <rPr>
        <i/>
        <sz val="10"/>
        <color indexed="8"/>
        <rFont val="Times New Roman"/>
        <family val="1"/>
      </rPr>
      <t>(Адм. Вал.гор.округа)                                                                                                                                  (0702 0720722110 243 226/2260411 Доп.ФК 07.01.02)</t>
    </r>
  </si>
  <si>
    <t>4.29.</t>
  </si>
  <si>
    <r>
      <t xml:space="preserve">Проведение проверки достоверности определения сметной стоимости  по объекту:  "Ремонт дворовой территории  по ул. Тимирязева, д.109 г.Валуйки Белгородской области"                                                                             </t>
    </r>
    <r>
      <rPr>
        <i/>
        <sz val="10"/>
        <color indexed="8"/>
        <rFont val="Times New Roman"/>
        <family val="1"/>
      </rPr>
      <t>(Адм. Вал.гор.округа)                                                                                                                                  (0503 0230122220 244 226/2260411 Доп.ФК 05.03.20)</t>
    </r>
  </si>
  <si>
    <t>4.30.</t>
  </si>
  <si>
    <r>
      <t xml:space="preserve">Разработка и прохождение экспертизы ПСД по объекту "Реконструкция МОУ "СОШ №3" г. Валуйки (основное здание) с пристройкой мастерских"                                                                                                </t>
    </r>
    <r>
      <rPr>
        <i/>
        <sz val="10"/>
        <color indexed="8"/>
        <rFont val="Times New Roman"/>
        <family val="1"/>
      </rPr>
      <t>(Адм. Вал.гор.округа)                                                                                                                                  (0702 0720722110 243 226/2260411 Доп.ФК 15.04.61)</t>
    </r>
  </si>
  <si>
    <t>4.31.</t>
  </si>
  <si>
    <r>
      <t xml:space="preserve">Проведение проверки достоверности определения сметной стоимости  по устройству детских игровых площадок на территории Валуйского городского округа                                                                                </t>
    </r>
    <r>
      <rPr>
        <i/>
        <sz val="10"/>
        <color indexed="8"/>
        <rFont val="Times New Roman"/>
        <family val="1"/>
      </rPr>
      <t>(Адм. Вал.гор.округа)                                                                                                                                  (0503 0230122220 244 226/2260411 Доп.ФК 05.03.20)</t>
    </r>
  </si>
  <si>
    <t>4.32.</t>
  </si>
  <si>
    <r>
      <t xml:space="preserve">Проведение проверки достоверности определения сметной стоимости  по объекту: "Устройство детской площадки по ул.Гвардейская (в районе магазина "Ласточка") в г.Валуйки, Белгородской области                                                                             </t>
    </r>
    <r>
      <rPr>
        <i/>
        <sz val="10"/>
        <color indexed="8"/>
        <rFont val="Times New Roman"/>
        <family val="1"/>
      </rPr>
      <t>(Адм. Вал.гор.округа)                                                                                                                                  (0503 0230122220 244 226/2260411 Доп.ФК 05.03.20)</t>
    </r>
  </si>
  <si>
    <t>4.33.</t>
  </si>
  <si>
    <r>
      <t xml:space="preserve">Проведение проверки достоверности определения сметной стоимости  по объекту: "Благоустройство территории возле библиотеки №2 на пл.Урицкого, д.1 в г.Валуйки Белгородской области"                                                                                                        </t>
    </r>
    <r>
      <rPr>
        <i/>
        <sz val="10"/>
        <color indexed="8"/>
        <rFont val="Times New Roman"/>
        <family val="1"/>
      </rPr>
      <t>(Адм. Вал.гор.округа)                                                                                                                                  (0503 0230122220 244 226/2260411 Доп.ФК 05.03.20)</t>
    </r>
  </si>
  <si>
    <t>4.34.</t>
  </si>
  <si>
    <t>Приложение к решению Совета депутатов Валуйского городского округа                                                               от "26" ноября 2021 г. №664</t>
  </si>
  <si>
    <r>
      <t xml:space="preserve">Проведение проверки достоверности определения сметной стоимости  по объекту: "Ремонт тротуара через яр от ул.50 лет ВЛКСМ до ул. Чапаева в г.Валуйки Белгородской области"                                                                            </t>
    </r>
    <r>
      <rPr>
        <i/>
        <sz val="10"/>
        <color indexed="8"/>
        <rFont val="Times New Roman"/>
        <family val="1"/>
      </rPr>
      <t>(Адм. Вал.гор.округа)                                                                                                                                  (0503 0230122220 244 226/2260411 Доп.ФК 05.03.20)</t>
    </r>
  </si>
  <si>
    <t>4.35.</t>
  </si>
  <si>
    <r>
      <t xml:space="preserve">Проведение проверки достоверности определения сметной стоимости  по объекту: "Капитальный ремонт здания МБУ "Валуйский ФОК", г.Валуйки"                                                                            </t>
    </r>
    <r>
      <rPr>
        <i/>
        <sz val="10"/>
        <color indexed="8"/>
        <rFont val="Times New Roman"/>
        <family val="1"/>
      </rPr>
      <t>(Адм. Вал.гор.округа)                                                                                                                                  (1105 1010122110 244 226/2260411 Доп.ФК 15.04.42)</t>
    </r>
  </si>
  <si>
    <t>4.36.</t>
  </si>
  <si>
    <r>
      <t xml:space="preserve">Проведение проверки достоверности определения сметной стоимости  по объекту: "Обустройство парковой зоны в с.Рождественно Валуйского городского округа Белгородской области"                                                                                                          </t>
    </r>
    <r>
      <rPr>
        <i/>
        <sz val="10"/>
        <color indexed="8"/>
        <rFont val="Times New Roman"/>
        <family val="1"/>
      </rPr>
      <t>(Адм. Вал.гор.округа)                                                                                                                                  (0503 0230122220 244 226/2260411 Доп.ФК 05.03.20)</t>
    </r>
  </si>
  <si>
    <t>4.37.</t>
  </si>
  <si>
    <r>
      <t xml:space="preserve">Проведение проверки достоверности определения сметной стоимости  по объекту: "Ремонт моста через реку Оскол в с.Логачевка Валуйского городского округа Белгородской области"                                                                                                          </t>
    </r>
    <r>
      <rPr>
        <i/>
        <sz val="10"/>
        <color indexed="8"/>
        <rFont val="Times New Roman"/>
        <family val="1"/>
      </rPr>
      <t>(Адм. Вал.гор.округа)                                                                                                                                  (0503 0230120550 244 226/2260411 Доп.ФК 05.03.20)</t>
    </r>
  </si>
  <si>
    <t>4.38.</t>
  </si>
  <si>
    <r>
      <t xml:space="preserve">Проведение проверки достоверности определения сметной стоимости  по объекту: "Благоустройство территории микрорайона "Соцгородок" по ул. Котовского в г.Валуйки Белгородской области"                                                                            </t>
    </r>
    <r>
      <rPr>
        <i/>
        <sz val="10"/>
        <color indexed="8"/>
        <rFont val="Times New Roman"/>
        <family val="1"/>
      </rPr>
      <t>(Адм. Вал.гор.округа)                                                                                                                                  (0503 0230120550 244 226/2260411 Доп.ФК 05.03.20)</t>
    </r>
  </si>
  <si>
    <t>4.39.</t>
  </si>
  <si>
    <r>
      <t xml:space="preserve">Проведение проверки достоверности определения сметной стоимости  по объекту: "Замена окон в МОУ "Селивановская СОШ", расположенной в с.Селиваново Валуйского городского округа Белгородской области"                                                                            </t>
    </r>
    <r>
      <rPr>
        <i/>
        <sz val="10"/>
        <color indexed="8"/>
        <rFont val="Times New Roman"/>
        <family val="1"/>
      </rPr>
      <t>(Адм. Вал.гор.округа)                                                                                                                                  (0702 0720722110 244 226/2260411 Доп.ФК 07.01.02)</t>
    </r>
  </si>
  <si>
    <t>4.40.</t>
  </si>
  <si>
    <r>
      <t xml:space="preserve">Проведение проверки достоверности определения сметной стоимости  по объекту: "Замена окон в МОУ "Борчанская СОШ", расположенной в с.Борки Валуйского городского округа Белгородской области"                                                                            </t>
    </r>
    <r>
      <rPr>
        <i/>
        <sz val="10"/>
        <color indexed="8"/>
        <rFont val="Times New Roman"/>
        <family val="1"/>
      </rPr>
      <t>(Адм. Вал.гор.округа)                                                                                                                                  (0702 0720722110 244 226/2260411 Доп.ФК 07.01.02)</t>
    </r>
  </si>
  <si>
    <t>4.41.</t>
  </si>
  <si>
    <r>
      <t xml:space="preserve">Проведение проверки достоверности определения сметной стоимости  по объекту: "Ремонт подвесного моста через р.Оскол в с.Шелаево Валуйского городского округа Белгородской области"                                                                                                  </t>
    </r>
    <r>
      <rPr>
        <i/>
        <sz val="10"/>
        <color indexed="8"/>
        <rFont val="Times New Roman"/>
        <family val="1"/>
      </rPr>
      <t>(Адм. Вал.гор.округа)                                                                                                                                  (0503 0230122220 244 226/2260411 Доп.ФК 05.03.20)</t>
    </r>
  </si>
  <si>
    <t>4.42.</t>
  </si>
  <si>
    <r>
      <t xml:space="preserve">Проведение проверки достоверности определения сметной стоимости  по объекту: "Благоустройство пруда в поселке Ровное Валуйского городского округа Белгородской области"                                                                            </t>
    </r>
    <r>
      <rPr>
        <i/>
        <sz val="10"/>
        <color indexed="8"/>
        <rFont val="Times New Roman"/>
        <family val="1"/>
      </rPr>
      <t>(Адм. Вал.гор.округа)                                                                                                                                  (0503 0230122220 244 226/2260411 Доп.ФК 05.03.20)</t>
    </r>
  </si>
  <si>
    <t>4.43.</t>
  </si>
  <si>
    <r>
      <t xml:space="preserve">Проведение проверки достоверности определения сметной стоимости  по объекту: "Ремонт моста через реку Валуй в с.Насоново Валуйского городского округа"                                                                             </t>
    </r>
    <r>
      <rPr>
        <i/>
        <sz val="10"/>
        <color indexed="8"/>
        <rFont val="Times New Roman"/>
        <family val="1"/>
      </rPr>
      <t>(Адм. Вал.гор.округа)                                                                                                                                  (0503 0230122220 244 226/2260411 Доп.ФК 05.03.20)</t>
    </r>
  </si>
  <si>
    <t>4.44.</t>
  </si>
  <si>
    <r>
      <t xml:space="preserve">Проведение проверки достоверности определения сметной стоимости  по объекту: "Ремонт школьного стадиона МОУ "Рождественская СОШ" в с.Рождествено Валуйского городского округа"                                                                                                       </t>
    </r>
    <r>
      <rPr>
        <i/>
        <sz val="10"/>
        <color indexed="8"/>
        <rFont val="Times New Roman"/>
        <family val="1"/>
      </rPr>
      <t>(Адм. Вал.гор.округа)                                                                                                                                  (0702 0720222110 244 226/2260411 Доп.ФК 07.01.02)</t>
    </r>
  </si>
  <si>
    <t>4.45.</t>
  </si>
  <si>
    <r>
      <t xml:space="preserve">Проведение проверки достоверности определения сметной стоимости  по объекту: "Обустройство детской площадки МДОУ "Детский сад в с.Яблоново" Валуйского городского округа Белгородской области"                                                                             </t>
    </r>
    <r>
      <rPr>
        <i/>
        <sz val="10"/>
        <color indexed="8"/>
        <rFont val="Times New Roman"/>
        <family val="1"/>
      </rPr>
      <t>(Адм. Вал.гор.округа)                                                                                                                                  (0701 0710122130 244 226/2260411 Доп.ФК 07.01.01)</t>
    </r>
  </si>
  <si>
    <t>4.46.</t>
  </si>
  <si>
    <r>
      <t xml:space="preserve">Проведение проверки достоверности определения сметной стоимости  по объекту: "Замена ограждения кладбища в с.Хмелевец Валуйского городского округа Белгородской области"                                                                                                               </t>
    </r>
    <r>
      <rPr>
        <i/>
        <sz val="10"/>
        <color indexed="8"/>
        <rFont val="Times New Roman"/>
        <family val="1"/>
      </rPr>
      <t xml:space="preserve">(Адм. Вал.гор.округа)                                                                                                                                  (0503 0230122220 244 226/2260411 Доп.ФК 05.03.20)   </t>
    </r>
  </si>
  <si>
    <t>4.47.</t>
  </si>
  <si>
    <r>
      <t xml:space="preserve">Проведение проверки достоверности определения сметной стоимости  по объекту: "Обустройство спортивной площадки в с.Бирюч Валуйского городского округа Белгородской области"                                                                             </t>
    </r>
    <r>
      <rPr>
        <i/>
        <sz val="10"/>
        <color indexed="8"/>
        <rFont val="Times New Roman"/>
        <family val="1"/>
      </rPr>
      <t>(Адм. Вал.гор.округа)                                                                                                                                  (0503 0230122220 244 226/2260411 Доп.ФК 05.03.20)</t>
    </r>
  </si>
  <si>
    <t>5.</t>
  </si>
  <si>
    <t>Обеспечение жильем молодых семей в рамках государственной программы "Обеспечение доступным и комфортным жильем и коммунальными услугами граждан Российской Федерации"</t>
  </si>
  <si>
    <t>5.1.</t>
  </si>
  <si>
    <r>
      <t xml:space="preserve">Обеспечение жильем молодых семей                                                                                               </t>
    </r>
    <r>
      <rPr>
        <i/>
        <sz val="10"/>
        <color indexed="8"/>
        <rFont val="Times New Roman"/>
        <family val="1"/>
      </rPr>
      <t>(Адм. Вал.гор.округа)                                                                                                   (1004 02106L4970 322 262/2620110   Доп.ФК 10.01.01)</t>
    </r>
  </si>
  <si>
    <t>6.</t>
  </si>
  <si>
    <t>Обеспечение развития и укрепления материально-технической базы</t>
  </si>
  <si>
    <t>6.1.</t>
  </si>
  <si>
    <t xml:space="preserve">Обеспечение развития и укрепления материально-технической базы объектов культуры </t>
  </si>
  <si>
    <t>6.1.1.</t>
  </si>
  <si>
    <r>
      <t xml:space="preserve">Обеспечение развития и укрепления материально-технической базы домов культуры в населенных пунктах с числом жителей  до 50 тысяч человек                     </t>
    </r>
    <r>
      <rPr>
        <i/>
        <sz val="10"/>
        <color indexed="8"/>
        <rFont val="Times New Roman"/>
        <family val="1"/>
      </rPr>
      <t xml:space="preserve">                                                (МУК "ЦКР")</t>
    </r>
    <r>
      <rPr>
        <i/>
        <sz val="10"/>
        <color indexed="10"/>
        <rFont val="Times New Roman"/>
        <family val="1"/>
      </rPr>
      <t xml:space="preserve">                              </t>
    </r>
    <r>
      <rPr>
        <i/>
        <sz val="10"/>
        <color indexed="8"/>
        <rFont val="Times New Roman"/>
        <family val="1"/>
      </rPr>
      <t xml:space="preserve">                               </t>
    </r>
    <r>
      <rPr>
        <i/>
        <sz val="10"/>
        <rFont val="Times New Roman"/>
        <family val="1"/>
      </rPr>
      <t xml:space="preserve">                        (0801 08301L4670 612 241/3100304  Доп.ФК 08.01.00)</t>
    </r>
  </si>
  <si>
    <t>6.2.</t>
  </si>
  <si>
    <t>Обеспечение развития и укрепления материально-технической базы объектов образования</t>
  </si>
  <si>
    <t>6.2.1</t>
  </si>
  <si>
    <r>
      <t xml:space="preserve">Обеспечение развития и укрепления материально-технической базы  МДОУ "ЦРР-ДС №2" г.Валуйки   Белгородской области                   </t>
    </r>
    <r>
      <rPr>
        <i/>
        <sz val="10"/>
        <color indexed="8"/>
        <rFont val="Times New Roman"/>
        <family val="1"/>
      </rPr>
      <t xml:space="preserve">                                                (МДОУ "ЦРР-ДС №2")                                                                        (0701 0710100590 611/612 241/3100304,241/3450000,241/346000  Доп.ФК 07.01.01/07.01.11)</t>
    </r>
  </si>
  <si>
    <t>6.2.2</t>
  </si>
  <si>
    <r>
      <t>Обеспечение развития и укрепления материально-технической базы  МДОУ "ЦРР-ДС</t>
    </r>
    <r>
      <rPr>
        <sz val="10"/>
        <color indexed="8"/>
        <rFont val="Times New Roman"/>
        <family val="1"/>
      </rPr>
      <t xml:space="preserve"> №2" г.Валуйки   Белгородской области                   </t>
    </r>
    <r>
      <rPr>
        <i/>
        <sz val="10"/>
        <color indexed="8"/>
        <rFont val="Times New Roman"/>
        <family val="1"/>
      </rPr>
      <t xml:space="preserve">                                                (МДОУ "ЦРР-ДС №2")</t>
    </r>
    <r>
      <rPr>
        <i/>
        <sz val="10"/>
        <color indexed="10"/>
        <rFont val="Times New Roman"/>
        <family val="1"/>
      </rPr>
      <t xml:space="preserve">                              </t>
    </r>
    <r>
      <rPr>
        <i/>
        <sz val="10"/>
        <color indexed="8"/>
        <rFont val="Times New Roman"/>
        <family val="1"/>
      </rPr>
      <t xml:space="preserve">                               </t>
    </r>
    <r>
      <rPr>
        <i/>
        <sz val="10"/>
        <rFont val="Times New Roman"/>
        <family val="1"/>
      </rPr>
      <t xml:space="preserve">           (0701 0710120550 612 241/3100304   Доп.ФК 07.01.11)</t>
    </r>
  </si>
  <si>
    <t>6.2.3</t>
  </si>
  <si>
    <r>
      <t xml:space="preserve">Обеспечение развития и укрепления материально-технической базы  МОУ "Уразовская СОШ №2" пгт. Уразово Валуйского городского округа                                                                                                                  </t>
    </r>
    <r>
      <rPr>
        <i/>
        <sz val="10"/>
        <rFont val="Times New Roman"/>
        <family val="1"/>
      </rPr>
      <t>(МОУ "Уразовская СОШ №2")                                                                                                                         (0702 0720770550 612 241/3100304 Доп.ФК 15.04.32)</t>
    </r>
  </si>
  <si>
    <t>7.</t>
  </si>
  <si>
    <t>Создание эффективных механизмов в области обращения с твердыми коммунальными отходами</t>
  </si>
  <si>
    <t>7.1.</t>
  </si>
  <si>
    <r>
      <t xml:space="preserve">Разработка ПСД и выполнение инженерных изысканий на объекте: «Строительство объекта размещения твердых коммунальных отходов расположенного на северо-западной окраине г. Валуйки                           </t>
    </r>
    <r>
      <rPr>
        <i/>
        <sz val="10"/>
        <rFont val="Times New Roman"/>
        <family val="1"/>
      </rPr>
      <t xml:space="preserve">                                                        </t>
    </r>
    <r>
      <rPr>
        <i/>
        <sz val="10"/>
        <color indexed="8"/>
        <rFont val="Times New Roman"/>
        <family val="1"/>
      </rPr>
      <t>(Адм. Вал. гор. округа)                                                                                                                                                                                         (0605 0230171430/02301S1430 244 226/2260411   Доп.ФК 06.00.00)</t>
    </r>
  </si>
  <si>
    <t>7.2.</t>
  </si>
  <si>
    <r>
      <t xml:space="preserve">Приобретение колес на контейнеры ТКО                                                                                                       </t>
    </r>
    <r>
      <rPr>
        <i/>
        <sz val="10"/>
        <rFont val="Times New Roman"/>
        <family val="1"/>
      </rPr>
      <t xml:space="preserve">(МБУ "Валуйское благоустройство")                                                                                                                                                                        </t>
    </r>
    <r>
      <rPr>
        <i/>
        <sz val="10"/>
        <color indexed="10"/>
        <rFont val="Times New Roman"/>
        <family val="1"/>
      </rPr>
      <t xml:space="preserve">                 </t>
    </r>
    <r>
      <rPr>
        <i/>
        <sz val="10"/>
        <color indexed="8"/>
        <rFont val="Times New Roman"/>
        <family val="1"/>
      </rPr>
      <t>(0605 0230121430 611 241/3460000   Доп.ФК 06.00.00)</t>
    </r>
  </si>
  <si>
    <t>7.3.</t>
  </si>
  <si>
    <r>
      <t xml:space="preserve">Приобретение колес на контейнеры ТКО                                                                                                       </t>
    </r>
    <r>
      <rPr>
        <i/>
        <sz val="10"/>
        <rFont val="Times New Roman"/>
        <family val="1"/>
      </rPr>
      <t xml:space="preserve">(МБУ "Уразовское благоустройство")                                                                                                                                                                        </t>
    </r>
    <r>
      <rPr>
        <i/>
        <sz val="10"/>
        <color indexed="10"/>
        <rFont val="Times New Roman"/>
        <family val="1"/>
      </rPr>
      <t xml:space="preserve">                 </t>
    </r>
    <r>
      <rPr>
        <i/>
        <sz val="10"/>
        <color indexed="8"/>
        <rFont val="Times New Roman"/>
        <family val="1"/>
      </rPr>
      <t>(0605 0230121430 611 241/3460000   Доп.ФК 06.00.00)</t>
    </r>
  </si>
  <si>
    <t>8.</t>
  </si>
  <si>
    <t>Благоустройство территории</t>
  </si>
  <si>
    <t>8.1.</t>
  </si>
  <si>
    <r>
      <t xml:space="preserve">Благоустройство ул.Пролетарская г.Валуйки                                                                                    </t>
    </r>
    <r>
      <rPr>
        <i/>
        <sz val="10"/>
        <color indexed="8"/>
        <rFont val="Times New Roman"/>
        <family val="1"/>
      </rPr>
      <t>(Адм. Вал. гор. округа)                                                                                                            (0503 0230122220 244 226/2260200   Доп.ФК 05.03.20)</t>
    </r>
  </si>
  <si>
    <t>9.</t>
  </si>
  <si>
    <t>Текущий ремонт зданий и сооружений</t>
  </si>
  <si>
    <t>9.1.</t>
  </si>
  <si>
    <t>Образование</t>
  </si>
  <si>
    <t>9.1.1.</t>
  </si>
  <si>
    <r>
      <t xml:space="preserve">Замена окон в помещениях на станции юных натуралистов в п.Уразово Валуйского городского округа Белгородской области                                                                                                           </t>
    </r>
    <r>
      <rPr>
        <i/>
        <sz val="10"/>
        <rFont val="Times New Roman"/>
        <family val="1"/>
      </rPr>
      <t>(МУДО "СЮН" Валуйского района)                                                                                              (0703 0730100590 612 241/2250502   Доп.ФК 07.01.04)</t>
    </r>
  </si>
  <si>
    <t>9.2.</t>
  </si>
  <si>
    <t>Культура</t>
  </si>
  <si>
    <t>9.2.1.</t>
  </si>
  <si>
    <r>
      <t xml:space="preserve"> Ремонт памятников воинской славы                                               (объектов культурного наследия)             Двулученской т/а                                                                                 </t>
    </r>
    <r>
      <rPr>
        <i/>
        <sz val="10"/>
        <rFont val="Times New Roman"/>
        <family val="1"/>
      </rPr>
      <t>(Двулученская т/а)                                                                                              (0804 0840622990 244 222/2220100, 225/2220502, 344/3440000, 346/3460000   Доп.ФК 05.03.14)</t>
    </r>
  </si>
  <si>
    <t>9.2.2.</t>
  </si>
  <si>
    <r>
      <t xml:space="preserve"> Ремонт памятников воинской славы                                               (объектов культурного наследия) Новопетровской т/а                                                                                 </t>
    </r>
    <r>
      <rPr>
        <i/>
        <sz val="10"/>
        <rFont val="Times New Roman"/>
        <family val="1"/>
      </rPr>
      <t>(Новопетровская т/а)                                                                                              (0804 0840622990 244 222/2220100, 225/2220502, 344/3440000 Доп.ФК 05.03.14)</t>
    </r>
  </si>
  <si>
    <t>9.3.</t>
  </si>
  <si>
    <t>Физическая культура и спорт</t>
  </si>
  <si>
    <t>9.3.1.</t>
  </si>
  <si>
    <r>
      <t xml:space="preserve">Востановление мачт освещения стадиона "Центральный" г.Валуйки ул.М.Горького,45 Б                                                                                  </t>
    </r>
    <r>
      <rPr>
        <i/>
        <sz val="10"/>
        <rFont val="Times New Roman"/>
        <family val="1"/>
      </rPr>
      <t>(МБУ "Валуйский ФОК")                                                                                              (1101 1010100590 611 241/3460000, 241/2260411   Доп.ФК 11.01.02)</t>
    </r>
  </si>
  <si>
    <t>9.4.</t>
  </si>
  <si>
    <t>Прочие объекты социальной сферы</t>
  </si>
  <si>
    <t>9.4.1.</t>
  </si>
  <si>
    <r>
      <t xml:space="preserve">Ремонт жилых помещений, находящихся в муниципальной собственности (г.Валуйки ул. Парковая, 42/1 кв.1, ул. Парковая, 42/1 кв.2, ул. Парковая, 42/1 кв.3)                                                                                  </t>
    </r>
    <r>
      <rPr>
        <i/>
        <sz val="10"/>
        <rFont val="Times New Roman"/>
        <family val="1"/>
      </rPr>
      <t>(Адм. Вал. гор. округа)                                                                                              (0501 0211222120 244 225/2250502 Доп.ФК 05.01.00)</t>
    </r>
  </si>
  <si>
    <t>9.4.2.</t>
  </si>
  <si>
    <r>
      <t xml:space="preserve">Ремонт жилого помещения                                                                           (г.Валуйки ул. Космонавтов,7 ком.39)                                                                         </t>
    </r>
    <r>
      <rPr>
        <i/>
        <sz val="10"/>
        <rFont val="Times New Roman"/>
        <family val="1"/>
      </rPr>
      <t>(Адм. Вал. гор. округа)                                                                                              (0501 0211222120 244 225/2250502 Доп.ФК 05.01.00)</t>
    </r>
  </si>
  <si>
    <t>9.4.3.</t>
  </si>
  <si>
    <r>
      <t xml:space="preserve">Ремонт жилого помещения                                                                          (г.Валуйки ул. Космонавтов,7 ком.45)                                                                         </t>
    </r>
    <r>
      <rPr>
        <i/>
        <sz val="10"/>
        <rFont val="Times New Roman"/>
        <family val="1"/>
      </rPr>
      <t>(Адм. Вал. гор. округа)                                                                                              (0501 0211222120 244 225/2250502 Доп.ФК 05.01.00)</t>
    </r>
  </si>
  <si>
    <t>9.4.4.</t>
  </si>
  <si>
    <r>
      <t xml:space="preserve">Ремонт жилого помещения                                                                            (г.Валуйки ул. Тимирязева,97 ком.30)                                                                         </t>
    </r>
    <r>
      <rPr>
        <i/>
        <sz val="10"/>
        <rFont val="Times New Roman"/>
        <family val="1"/>
      </rPr>
      <t>(Адм. Вал. гор. округа)                                                                                              (0501 0211222120 244 225/2250502 Доп.ФК 05.01.00)</t>
    </r>
  </si>
  <si>
    <t>9.4.5.</t>
  </si>
  <si>
    <r>
      <t xml:space="preserve">Ремонт жилого помещения                                                        (г.Валуйки ул. Степана Разина,2 ком.60)                                                                         </t>
    </r>
    <r>
      <rPr>
        <i/>
        <sz val="10"/>
        <rFont val="Times New Roman"/>
        <family val="1"/>
      </rPr>
      <t>(Адм. Вал. гор. округа)                                                                                              (0501 0211222120 244 225/2250502 Доп.ФК 05.01.00)</t>
    </r>
  </si>
  <si>
    <t>9.5.</t>
  </si>
  <si>
    <t>Общегосударственные вопросы</t>
  </si>
  <si>
    <t>9.5.1.</t>
  </si>
  <si>
    <r>
      <t xml:space="preserve">Ремонт крыльца в здании администрации и установка перил по объекту: "Адаптация входной группы здания администрации Казинской территориальной администрации Валуйского городского округа                                                                                 </t>
    </r>
    <r>
      <rPr>
        <i/>
        <sz val="10"/>
        <rFont val="Times New Roman"/>
        <family val="1"/>
      </rPr>
      <t>(Казинская т/а)                                                                                              (0104 9990020550 244 225/2250502  Доп.ФК 01.00.00)</t>
    </r>
  </si>
  <si>
    <t>10.</t>
  </si>
  <si>
    <t>Ремонт шахтных колодцев</t>
  </si>
  <si>
    <t>10.1.</t>
  </si>
  <si>
    <r>
      <t xml:space="preserve">Текущий ремонт и благоустройство шахтных колодцев                     </t>
    </r>
    <r>
      <rPr>
        <i/>
        <sz val="10"/>
        <rFont val="Times New Roman"/>
        <family val="1"/>
      </rPr>
      <t xml:space="preserve">                                                            (Адм. Вал. гор. округа)                                                                                                                                                                                         (0503 0220721440 244 226/2260200 Доп.ФК 05.03.20)</t>
    </r>
  </si>
  <si>
    <t>11.</t>
  </si>
  <si>
    <t xml:space="preserve">Государственная программа Белгородской области "Развитие сельского хозяйства и рыбоводства в Белгородской области"   ("Комплексное развитие сельских территорий")  </t>
  </si>
  <si>
    <t>11.1.</t>
  </si>
  <si>
    <r>
      <t xml:space="preserve">Обустройство детской площадки в с.Колосково Валуйского городского округа                                                                                                        </t>
    </r>
    <r>
      <rPr>
        <i/>
        <sz val="10"/>
        <rFont val="Times New Roman"/>
        <family val="1"/>
      </rPr>
      <t xml:space="preserve">(Адм. Вал.гор.округа) </t>
    </r>
    <r>
      <rPr>
        <sz val="10"/>
        <rFont val="Times New Roman"/>
        <family val="1"/>
      </rPr>
      <t xml:space="preserve">                                                                                </t>
    </r>
    <r>
      <rPr>
        <i/>
        <sz val="10"/>
        <color indexed="10"/>
        <rFont val="Times New Roman"/>
        <family val="1"/>
      </rPr>
      <t xml:space="preserve"> </t>
    </r>
    <r>
      <rPr>
        <i/>
        <sz val="10"/>
        <rFont val="Times New Roman"/>
        <family val="1"/>
      </rPr>
      <t>(0503 01601L5760 244 226/2260200                                                            Доп.ФК 15.04.68)</t>
    </r>
  </si>
  <si>
    <t>12.</t>
  </si>
  <si>
    <t>Другие вопросы в области здравоохранения</t>
  </si>
  <si>
    <t>12.1.</t>
  </si>
  <si>
    <r>
      <t xml:space="preserve">Реализация мероприятий по обеспечению жильем медицинских работников государственных учреждений здравоохранения Белгородской области                                                                           </t>
    </r>
    <r>
      <rPr>
        <i/>
        <sz val="10"/>
        <rFont val="Times New Roman"/>
        <family val="1"/>
      </rPr>
      <t xml:space="preserve">(Адм. Вал.гор.округа) </t>
    </r>
    <r>
      <rPr>
        <sz val="10"/>
        <rFont val="Times New Roman"/>
        <family val="1"/>
      </rPr>
      <t xml:space="preserve">                                                                                     </t>
    </r>
    <r>
      <rPr>
        <i/>
        <sz val="10"/>
        <color indexed="10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(0909 9990073790/99900S3790 412 310/3100400                                                            Доп.ФК 09.00.00)                </t>
    </r>
  </si>
  <si>
    <t>13.</t>
  </si>
  <si>
    <t>Благоустройство общественных территорий</t>
  </si>
  <si>
    <t>13.1.</t>
  </si>
  <si>
    <r>
      <t xml:space="preserve">Устройство детских  игровых площадок на территории Валуйского городского округа                                                                           </t>
    </r>
    <r>
      <rPr>
        <i/>
        <sz val="10"/>
        <rFont val="Times New Roman"/>
        <family val="1"/>
      </rPr>
      <t xml:space="preserve">(Адм. Вал.гор.округа) </t>
    </r>
    <r>
      <rPr>
        <sz val="10"/>
        <rFont val="Times New Roman"/>
        <family val="1"/>
      </rPr>
      <t xml:space="preserve">                                                                                     </t>
    </r>
    <r>
      <rPr>
        <i/>
        <sz val="10"/>
        <color indexed="10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(0503 1310271450 244 226/2260200                                                            Доп.ФК 05.03.20)                </t>
    </r>
  </si>
  <si>
    <t>14.</t>
  </si>
  <si>
    <t>Осуществление деятельности в части работ по ремонту жилых помещений, в которых дети-сироты и дети,оставшиеся без попечения родителей , являются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</t>
  </si>
  <si>
    <t>14.1.</t>
  </si>
  <si>
    <r>
      <t xml:space="preserve">Работы по ремонту жилых помещений, в которых дети-сироты и дети,оставшиеся без попечения родителей , являются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                                                                                         </t>
    </r>
    <r>
      <rPr>
        <i/>
        <sz val="10"/>
        <rFont val="Times New Roman"/>
        <family val="1"/>
      </rPr>
      <t xml:space="preserve">(Адм. Вал.гор.округа) </t>
    </r>
    <r>
      <rPr>
        <sz val="10"/>
        <rFont val="Times New Roman"/>
        <family val="1"/>
      </rPr>
      <t xml:space="preserve">                                                                                     </t>
    </r>
    <r>
      <rPr>
        <i/>
        <sz val="10"/>
        <color indexed="10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(1004 0931171520 323 226/2260411                                                            Доп.ФК 10.00.00)                </t>
    </r>
  </si>
  <si>
    <t>ИТОГО по всем программам:</t>
  </si>
  <si>
    <t>Заместитель главы администрации Валуйского городского округа</t>
  </si>
  <si>
    <t xml:space="preserve">по строительству, транспорту, ЖКХ и системам жизнеобеспечения -                                                                                                                          </t>
  </si>
  <si>
    <t xml:space="preserve">начальник управления ЖКХ </t>
  </si>
  <si>
    <t>И.В. Кочетова</t>
  </si>
  <si>
    <t>Заместитель главы администрации Валуйского городского округа –</t>
  </si>
  <si>
    <t>Л.В. Мащенко</t>
  </si>
  <si>
    <t xml:space="preserve">начальник управления финансов и бюждетной политики </t>
  </si>
  <si>
    <t>Пообъектный перечень</t>
  </si>
  <si>
    <t>строительства, реконструкции и капитального ремонта объектов социальной сферы и развития жилищно-коммунальной инфраструктуры Валуйского городского округа на 2021 год</t>
  </si>
  <si>
    <t xml:space="preserve">№ п/п </t>
  </si>
  <si>
    <t>Наименование программ, объектов</t>
  </si>
  <si>
    <t>Источники финансирования (тыс.руб.)</t>
  </si>
  <si>
    <t>ИТОГО</t>
  </si>
  <si>
    <t>Профинансировано (тыс.руб.)</t>
  </si>
  <si>
    <t>остаток средств</t>
  </si>
  <si>
    <t>Федеральный бюджет</t>
  </si>
  <si>
    <t>Областной бюджет</t>
  </si>
  <si>
    <t>Местный бюджет</t>
  </si>
  <si>
    <t>Средствава территории                         (инвесторы)</t>
  </si>
  <si>
    <t>Внебюджетные источ-ники</t>
  </si>
  <si>
    <t>за счет передвижения средств</t>
  </si>
  <si>
    <t>за счет средств дорожного фонда</t>
  </si>
  <si>
    <t>Средства территории                         (инвесторы)</t>
  </si>
  <si>
    <t>Внебюджетные источники</t>
  </si>
  <si>
    <t>за счет средств дорожного                 фонда</t>
  </si>
  <si>
    <t>утверждено бюджетом на 2021г.</t>
  </si>
  <si>
    <t>прочие доходы от оказания платных услуг</t>
  </si>
  <si>
    <t>утверждено бюджетом на 2021 г.</t>
  </si>
  <si>
    <t>1.</t>
  </si>
  <si>
    <t>Дорожное хозяйство (дорожные фонды)</t>
  </si>
  <si>
    <t>1.1.</t>
  </si>
  <si>
    <r>
      <t xml:space="preserve">Капитальный ремонт действующей сети Валуйского городского округа                                                                                                                            </t>
    </r>
    <r>
      <rPr>
        <i/>
        <sz val="10"/>
        <rFont val="Times New Roman"/>
        <family val="1"/>
      </rPr>
      <t xml:space="preserve">(Адм. Вал.гор.округа)                                                                                                                                                      (0409 0310120580 244 225/2250200   Доп.ФК 04.13.00)                                                                      </t>
    </r>
  </si>
  <si>
    <t>1.2.</t>
  </si>
  <si>
    <r>
      <t xml:space="preserve">Разработка ПСД и выполнение инженерных изысканий по объекту: "Строительства моста через реку Оскол в с.Поминово Валуйского городского округа"                                                                                                                   </t>
    </r>
    <r>
      <rPr>
        <i/>
        <sz val="10"/>
        <rFont val="Times New Roman"/>
        <family val="1"/>
      </rPr>
      <t xml:space="preserve">(Адм. Вал.гор.округа)                                                                                                                                                      (0409 0310120580 244 226/2260411   Доп.ФК 04.13.00)  </t>
    </r>
  </si>
  <si>
    <t>1.3.</t>
  </si>
  <si>
    <r>
      <t xml:space="preserve">Устройство сетей наружного освещения по ул.М.Горького от 102/2 до д.134 в г.Валуйки                                                                                                                  </t>
    </r>
    <r>
      <rPr>
        <i/>
        <sz val="10"/>
        <rFont val="Times New Roman"/>
        <family val="1"/>
      </rPr>
      <t xml:space="preserve">(Адм. Вал.гор.округа)                                                                                                                                                      (0409 0310120580 244 226/2260200 Доп.ФК 04.13.00)  </t>
    </r>
  </si>
  <si>
    <t>1.4.</t>
  </si>
  <si>
    <r>
      <t xml:space="preserve">Проверка достоверности определения сметной стоимости по объектам дорожного фонда                                                                                                                   </t>
    </r>
    <r>
      <rPr>
        <i/>
        <sz val="10"/>
        <rFont val="Times New Roman"/>
        <family val="1"/>
      </rPr>
      <t xml:space="preserve">(Адм. Вал.гор.округа)                                                                                                                                                      (0409 0310120580 244 226/2260411    Доп.ФК 04.13.00)  </t>
    </r>
  </si>
  <si>
    <t>1.5.</t>
  </si>
  <si>
    <r>
      <t xml:space="preserve">Обустройство перекрестка на пересечении ул. Пролетарская и ул. Степана Разина в г.Валуйки  с установкой светофорного объекта                                                                                                     </t>
    </r>
    <r>
      <rPr>
        <i/>
        <sz val="10"/>
        <rFont val="Times New Roman"/>
        <family val="1"/>
      </rPr>
      <t xml:space="preserve">(Адм. Вал.гор.округа)                                                                                                                                                      (0409 0310120580 244 226/2260200 Доп.ФК 04.13.00)  </t>
    </r>
  </si>
  <si>
    <t>1.6.</t>
  </si>
  <si>
    <r>
      <t xml:space="preserve">Ремонт улично-дорожной сети Валуйского городского округа                                                                                                                          </t>
    </r>
    <r>
      <rPr>
        <i/>
        <sz val="10"/>
        <rFont val="Times New Roman"/>
        <family val="1"/>
      </rPr>
      <t xml:space="preserve">(Адм. Вал.гор.округа)                                                                                                                                                      (0409 0310172140/03101S2140 244 225/2250200                        Доп.ФК 04.13.00)                                                                      </t>
    </r>
  </si>
  <si>
    <t>1.7.</t>
  </si>
  <si>
    <r>
      <t xml:space="preserve">Проверка достоверности определения сметной стоимости по объекту: "Ремонт тротуара по ул.Горького п.Уразово"                                                                                                                  </t>
    </r>
    <r>
      <rPr>
        <i/>
        <sz val="10"/>
        <rFont val="Times New Roman"/>
        <family val="1"/>
      </rPr>
      <t xml:space="preserve">(Адм. Вал.гор.округа)                                                                                                                                                      (0409 0310120580 244 226/2260411   Доп.ФК 04.13.00)  </t>
    </r>
  </si>
  <si>
    <t>1.8.</t>
  </si>
  <si>
    <r>
      <t xml:space="preserve">Разработка проекта и прохождение государственной экспертизы по объекту «Обустройство перекрестка на пересечении ул. Пролетарская и ул. Степана Разина в г.Валуйки  с установкой светофорного объекта»                                                                           </t>
    </r>
    <r>
      <rPr>
        <i/>
        <sz val="10"/>
        <rFont val="Times New Roman"/>
        <family val="1"/>
      </rPr>
      <t xml:space="preserve">(Адм. Вал.гор.округа)                                                                                                                                                      (0409 0310120580 244 226/2260411   Доп.ФК 04.13.00)  </t>
    </r>
  </si>
  <si>
    <t>1.9.</t>
  </si>
  <si>
    <r>
      <t xml:space="preserve">Ремонт тротуаров на территории Валуйского городского округа                                                                                                          </t>
    </r>
    <r>
      <rPr>
        <i/>
        <sz val="10"/>
        <rFont val="Times New Roman"/>
        <family val="1"/>
      </rPr>
      <t xml:space="preserve">(Адм. Вал.гор.округа)                                                                                                                                                      (0409 0310120580 244 225/2250200   Доп.ФК 04.13.00)  </t>
    </r>
  </si>
  <si>
    <t>1.10.</t>
  </si>
  <si>
    <r>
      <t xml:space="preserve">Содержание автомобильных дорог общего пользования местного значения Валуйского городского округа                                                              </t>
    </r>
    <r>
      <rPr>
        <i/>
        <sz val="10"/>
        <rFont val="Times New Roman"/>
        <family val="1"/>
      </rPr>
      <t xml:space="preserve">(МБУ "Валуйское благоуст ройство")                                                                                                                                                    (0409 0310120580 611 241/3440000, 241/3460000                        Доп.ФК 04.13.00)   </t>
    </r>
    <r>
      <rPr>
        <sz val="10"/>
        <rFont val="Times New Roman"/>
        <family val="1"/>
      </rPr>
      <t xml:space="preserve">       </t>
    </r>
  </si>
  <si>
    <t>1.11.</t>
  </si>
  <si>
    <r>
      <t xml:space="preserve">Содержание автомобильных дорог общего пользования местного значения Валуйского городского округа                                                              </t>
    </r>
    <r>
      <rPr>
        <i/>
        <sz val="10"/>
        <rFont val="Times New Roman"/>
        <family val="1"/>
      </rPr>
      <t xml:space="preserve">(МБУ "Уразовское благоуст ройство")                                                                                                                                                    (0409 0310120580 611 241/3440000, 241/3460000                     Доп.ФК 04.13.00)     </t>
    </r>
    <r>
      <rPr>
        <sz val="10"/>
        <rFont val="Times New Roman"/>
        <family val="1"/>
      </rPr>
      <t xml:space="preserve">       </t>
    </r>
  </si>
  <si>
    <t>1.12.</t>
  </si>
  <si>
    <r>
      <t xml:space="preserve">Выполнение работ по ямочному ремонту в г.Валуйки                                                                                                                 </t>
    </r>
    <r>
      <rPr>
        <i/>
        <sz val="10"/>
        <rFont val="Times New Roman"/>
        <family val="1"/>
      </rPr>
      <t xml:space="preserve">(Адм. Вал.гор.округа)                                                                                                                                                      (0409 0310320570 244 225/2250200   Доп.ФК 04.13.00)  </t>
    </r>
  </si>
  <si>
    <t>1.13.</t>
  </si>
  <si>
    <r>
      <t xml:space="preserve">Устройство дорожных неровностей                                                                                                                </t>
    </r>
    <r>
      <rPr>
        <i/>
        <sz val="10"/>
        <rFont val="Times New Roman"/>
        <family val="1"/>
      </rPr>
      <t xml:space="preserve">(Адм. Вал.гор.округа)                                                                                                                                                      (0409 0310320570 244 226/2260200   Доп.ФК 04.13.01)  </t>
    </r>
  </si>
  <si>
    <t>1.14.</t>
  </si>
  <si>
    <r>
      <t xml:space="preserve">Приобретение дорожных знаков и металлических стоек                                                                                                             </t>
    </r>
    <r>
      <rPr>
        <i/>
        <sz val="10"/>
        <rFont val="Times New Roman"/>
        <family val="1"/>
      </rPr>
      <t xml:space="preserve">(Бирючанская т/а,  Двулученская т/а,    Колосковская т/а, Мандровская т/а, Насоновская т/а, Новопетровская т/а, Принцевская т/а, Солотянская т/а, Тимоновская т/а, Уразовская т/а, Яблоновская т/а)                                                                                                                                                      (0409 0310320570 244 310/3100304 Доп.ФК 04.13.01)  </t>
    </r>
  </si>
  <si>
    <t>2.</t>
  </si>
  <si>
    <t>Обеспечение жильем детей сирот</t>
  </si>
  <si>
    <t>2.1.</t>
  </si>
  <si>
    <r>
      <t xml:space="preserve">Обеспечение жильем детей-сирот,                                                                                  детей, оставшихся без попечения родителей,                                                                                     и лиц из их числа                                                                                                           </t>
    </r>
    <r>
      <rPr>
        <i/>
        <sz val="10"/>
        <rFont val="Times New Roman"/>
        <family val="1"/>
      </rPr>
      <t xml:space="preserve">(Адм. Вал.гор.округа)                                                                                </t>
    </r>
    <r>
      <rPr>
        <i/>
        <sz val="10"/>
        <color indexed="8"/>
        <rFont val="Times New Roman"/>
        <family val="1"/>
      </rPr>
      <t xml:space="preserve">(1004 0210770820 412 310/3100400   Доп.ФК 10.00.00)       </t>
    </r>
    <r>
      <rPr>
        <i/>
        <sz val="10"/>
        <rFont val="Times New Roman"/>
        <family val="1"/>
      </rPr>
      <t xml:space="preserve"> </t>
    </r>
  </si>
  <si>
    <t>2.2.</t>
  </si>
  <si>
    <r>
      <t xml:space="preserve">Обеспечение жильем детей-сирот,                                                                                  детей, оставшихся без попечения родителей,                                                                                     и лиц из их числа                                                                                                           </t>
    </r>
    <r>
      <rPr>
        <i/>
        <sz val="10"/>
        <rFont val="Times New Roman"/>
        <family val="1"/>
      </rPr>
      <t xml:space="preserve">(Адм. Вал.гор.округа)                                                                                </t>
    </r>
    <r>
      <rPr>
        <i/>
        <sz val="10"/>
        <color indexed="8"/>
        <rFont val="Times New Roman"/>
        <family val="1"/>
      </rPr>
      <t xml:space="preserve">(1004 0210720820 412 310/3100400   Доп.ФК 10.00.00)       </t>
    </r>
    <r>
      <rPr>
        <i/>
        <sz val="10"/>
        <rFont val="Times New Roman"/>
        <family val="1"/>
      </rPr>
      <t xml:space="preserve"> </t>
    </r>
  </si>
  <si>
    <t>3.</t>
  </si>
  <si>
    <t>Капитальный ремонт</t>
  </si>
  <si>
    <t>3.1.</t>
  </si>
  <si>
    <t>Капитальный ремонт объектов образования</t>
  </si>
  <si>
    <t>3.1.1.</t>
  </si>
  <si>
    <r>
      <t xml:space="preserve">Капитальный ремонт МДОУ "ЦРР-ДС № 2" г.Валуйки                                                                     </t>
    </r>
    <r>
      <rPr>
        <i/>
        <sz val="10"/>
        <rFont val="Times New Roman"/>
        <family val="1"/>
      </rPr>
      <t xml:space="preserve"> (Адм. Вал.гор.округа)                                                                                   (0701 0710472120/07104S2120 243 225/2250503                                                                    Доп.ФК 15.04.23)                                                                                                        </t>
    </r>
  </si>
  <si>
    <t>3.1.2.</t>
  </si>
  <si>
    <r>
      <t xml:space="preserve">Капитальный ремонт МДОУ "ЦРР-ДС №10" г.Валуйки                                                                                                                   </t>
    </r>
    <r>
      <rPr>
        <i/>
        <sz val="10"/>
        <rFont val="Times New Roman"/>
        <family val="1"/>
      </rPr>
      <t>(Адм. Вал.гор.округа)                                                                                                                          (0701 0710472120/07104S2120 244 225/2250503                                     Доп.ФК 15.04.27)</t>
    </r>
  </si>
  <si>
    <t>3.1.3.1.</t>
  </si>
  <si>
    <r>
      <t xml:space="preserve">Капитальный ремонт МОУ "Уразовская СОШ №2" пгт. Уразово Валуйского городского округа                                                                                                                  </t>
    </r>
    <r>
      <rPr>
        <i/>
        <sz val="10"/>
        <color indexed="8"/>
        <rFont val="Times New Roman"/>
        <family val="1"/>
      </rPr>
      <t>(Адм. Вал.гор.округа)                                                                                                                         (0702 07207L2550 243 225/2250503 Доп.ФК 15.04.32)</t>
    </r>
  </si>
  <si>
    <t>3.1.3.2.</t>
  </si>
  <si>
    <r>
      <t xml:space="preserve">Капитальный ремонт МОУ "Уразовская СОШ №2" пгт. Уразово Валуйского городского округа                                                                                                                  </t>
    </r>
    <r>
      <rPr>
        <i/>
        <sz val="10"/>
        <color indexed="8"/>
        <rFont val="Times New Roman"/>
        <family val="1"/>
      </rPr>
      <t>(Адм. Вал.гор.округа)                                                                                                                         (0702 0720772120/07207S1220 243 225/2250503 Доп.ФК 15.04.32)</t>
    </r>
  </si>
  <si>
    <t>3.1.4.</t>
  </si>
  <si>
    <r>
      <t xml:space="preserve">Капитальный ремонт МОУ "СОШ №1" г.Валуйки                                                                                                                 </t>
    </r>
    <r>
      <rPr>
        <i/>
        <sz val="10"/>
        <color indexed="8"/>
        <rFont val="Times New Roman"/>
        <family val="1"/>
      </rPr>
      <t>(Адм. Вал.гор.округа)                                                                                                                         (0702 0720772120/07207S2120 243 225/2250503                                  Доп.ФК 15.04.31)</t>
    </r>
  </si>
  <si>
    <t>3.1.5.</t>
  </si>
  <si>
    <r>
      <t xml:space="preserve">Капитальный ремонт МОУ "Насоновская СОШ" с пристройкой в с. Насоново Валуйского района                                                                      </t>
    </r>
    <r>
      <rPr>
        <i/>
        <sz val="10"/>
        <color indexed="8"/>
        <rFont val="Times New Roman"/>
        <family val="1"/>
      </rPr>
      <t xml:space="preserve">(Адм. Вал.гор.округа)                                                                          (0702 0720772120, 07207S2120 243 225/2250503 Доп.ФК 15.04.06)        </t>
    </r>
    <r>
      <rPr>
        <sz val="10"/>
        <color indexed="8"/>
        <rFont val="Times New Roman"/>
        <family val="1"/>
      </rPr>
      <t xml:space="preserve">                                                                           </t>
    </r>
  </si>
  <si>
    <t>3.2.</t>
  </si>
  <si>
    <t xml:space="preserve">Капитальный ремонт объектов культуры </t>
  </si>
  <si>
    <t>3.2.1.</t>
  </si>
  <si>
    <r>
      <t xml:space="preserve">Капитальный ремонт МУК "Районный дворец культуры и спорта" г.Валуйки                                                                     </t>
    </r>
    <r>
      <rPr>
        <i/>
        <sz val="10"/>
        <rFont val="Times New Roman"/>
        <family val="1"/>
      </rPr>
      <t xml:space="preserve">                         (Адм. Вал.гор.округа)                                                                                                               (0801 0830572120/08305S2120 243 225/2250503                                                                                             Доп.ФК 15.04.55) </t>
    </r>
  </si>
  <si>
    <t>3.2.2.1.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</si>
</sst>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\₽* #,##0_-;_-\₽* &quot;-&quot;_-;_-@_-"/>
    <numFmt numFmtId="169" formatCode="_-* #,##0_-;\-* #,##0_-;_-* &quot;-&quot;_-;_-@_-"/>
    <numFmt numFmtId="170" formatCode="_-\₽* #,##0.00_-;\-\₽* #,##0.00_-;_-\₽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&quot;$&quot;* #,##0.00_);_(&quot;$&quot;* \(#,##0.00\);_(&quot;$&quot;* &quot;-&quot;??_);_(@_)"/>
    <numFmt numFmtId="177" formatCode="0.0"/>
    <numFmt numFmtId="178" formatCode="#,###.00"/>
  </numFmts>
  <fonts count="34">
    <font>
      <sz val="10"/>
      <name val="Arial Cyr"/>
      <family val="2"/>
    </font>
    <font>
      <sz val="11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sz val="9.5"/>
      <name val="Times New Roman"/>
      <family val="1"/>
    </font>
    <font>
      <b/>
      <sz val="9.5"/>
      <name val="Times New Roman"/>
      <family val="1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0"/>
      <color indexed="36"/>
      <name val="Arial Cyr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1"/>
    </font>
    <font>
      <u val="single"/>
      <sz val="10"/>
      <color indexed="12"/>
      <name val="Arial Cyr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color indexed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>
        <color indexed="63"/>
      </left>
      <right style="thin"/>
      <top style="medium"/>
      <bottom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/>
    </border>
    <border>
      <left style="thin"/>
      <right style="thin"/>
      <top style="medium"/>
      <bottom/>
    </border>
    <border>
      <left>
        <color indexed="63"/>
      </left>
      <right style="medium"/>
      <top style="thin"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medium"/>
      <bottom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/>
    </border>
    <border>
      <left style="medium"/>
      <right style="medium"/>
      <top style="medium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thin"/>
      <right style="thin"/>
      <top/>
      <bottom/>
    </border>
    <border>
      <left style="medium"/>
      <right/>
      <top/>
      <bottom/>
    </border>
    <border>
      <left style="medium"/>
      <right style="medium"/>
      <top/>
      <bottom/>
    </border>
    <border>
      <left/>
      <right style="thin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>
        <color indexed="63"/>
      </top>
      <bottom style="thin"/>
    </border>
    <border>
      <left style="medium"/>
      <right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medium"/>
      <right style="medium"/>
      <top/>
      <bottom style="medium"/>
    </border>
    <border>
      <left style="thin"/>
      <right/>
      <top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/>
      <bottom>
        <color indexed="63"/>
      </bottom>
    </border>
    <border>
      <left style="medium"/>
      <right style="medium"/>
      <top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6" fillId="7" borderId="1" applyNumberFormat="0" applyAlignment="0" applyProtection="0"/>
    <xf numFmtId="0" fontId="11" fillId="20" borderId="2" applyNumberFormat="0" applyAlignment="0" applyProtection="0"/>
    <xf numFmtId="0" fontId="19" fillId="20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3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29" fillId="21" borderId="0" applyNumberFormat="0" applyBorder="0" applyAlignment="0" applyProtection="0"/>
    <xf numFmtId="0" fontId="30" fillId="0" borderId="0">
      <alignment/>
      <protection/>
    </xf>
    <xf numFmtId="0" fontId="1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2" borderId="7" applyNumberFormat="0" applyFont="0" applyAlignment="0" applyProtection="0"/>
    <xf numFmtId="0" fontId="23" fillId="23" borderId="8" applyNumberForma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230">
    <xf numFmtId="0" fontId="0" fillId="0" borderId="0" xfId="0" applyAlignment="1">
      <alignment/>
    </xf>
    <xf numFmtId="0" fontId="2" fillId="0" borderId="0" xfId="53" applyFont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177" fontId="3" fillId="0" borderId="12" xfId="0" applyNumberFormat="1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9" fontId="5" fillId="25" borderId="14" xfId="0" applyNumberFormat="1" applyFont="1" applyFill="1" applyBorder="1" applyAlignment="1">
      <alignment horizontal="center" vertical="center" wrapText="1"/>
    </xf>
    <xf numFmtId="0" fontId="5" fillId="25" borderId="14" xfId="0" applyNumberFormat="1" applyFont="1" applyFill="1" applyBorder="1" applyAlignment="1">
      <alignment horizontal="center" vertical="center" wrapText="1"/>
    </xf>
    <xf numFmtId="4" fontId="5" fillId="25" borderId="15" xfId="0" applyNumberFormat="1" applyFont="1" applyFill="1" applyBorder="1" applyAlignment="1">
      <alignment horizontal="center" vertical="center" wrapText="1"/>
    </xf>
    <xf numFmtId="4" fontId="5" fillId="25" borderId="16" xfId="0" applyNumberFormat="1" applyFont="1" applyFill="1" applyBorder="1" applyAlignment="1">
      <alignment horizontal="center" vertical="center" wrapText="1"/>
    </xf>
    <xf numFmtId="49" fontId="5" fillId="25" borderId="17" xfId="0" applyNumberFormat="1" applyFont="1" applyFill="1" applyBorder="1" applyAlignment="1">
      <alignment horizontal="center" vertical="center" wrapText="1"/>
    </xf>
    <xf numFmtId="0" fontId="5" fillId="25" borderId="17" xfId="0" applyNumberFormat="1" applyFont="1" applyFill="1" applyBorder="1" applyAlignment="1">
      <alignment horizontal="center" vertical="center" wrapText="1"/>
    </xf>
    <xf numFmtId="4" fontId="5" fillId="25" borderId="18" xfId="0" applyNumberFormat="1" applyFont="1" applyFill="1" applyBorder="1" applyAlignment="1">
      <alignment horizontal="center" vertical="center" wrapText="1"/>
    </xf>
    <xf numFmtId="4" fontId="5" fillId="25" borderId="19" xfId="0" applyNumberFormat="1" applyFont="1" applyFill="1" applyBorder="1" applyAlignment="1">
      <alignment horizontal="center" vertical="center" wrapText="1"/>
    </xf>
    <xf numFmtId="49" fontId="5" fillId="25" borderId="20" xfId="0" applyNumberFormat="1" applyFont="1" applyFill="1" applyBorder="1" applyAlignment="1">
      <alignment horizontal="center" vertical="center" wrapText="1"/>
    </xf>
    <xf numFmtId="0" fontId="5" fillId="25" borderId="20" xfId="0" applyNumberFormat="1" applyFont="1" applyFill="1" applyBorder="1" applyAlignment="1">
      <alignment horizontal="center" vertical="center" wrapText="1"/>
    </xf>
    <xf numFmtId="4" fontId="5" fillId="25" borderId="21" xfId="0" applyNumberFormat="1" applyFont="1" applyFill="1" applyBorder="1" applyAlignment="1">
      <alignment horizontal="center" vertical="center" wrapText="1"/>
    </xf>
    <xf numFmtId="4" fontId="5" fillId="25" borderId="22" xfId="0" applyNumberFormat="1" applyFont="1" applyFill="1" applyBorder="1" applyAlignment="1">
      <alignment horizontal="center" vertical="center" wrapText="1"/>
    </xf>
    <xf numFmtId="0" fontId="5" fillId="25" borderId="23" xfId="0" applyNumberFormat="1" applyFont="1" applyFill="1" applyBorder="1" applyAlignment="1">
      <alignment horizontal="center" vertical="center" wrapText="1"/>
    </xf>
    <xf numFmtId="0" fontId="5" fillId="25" borderId="24" xfId="0" applyNumberFormat="1" applyFont="1" applyFill="1" applyBorder="1" applyAlignment="1">
      <alignment horizontal="center" vertical="center" wrapText="1"/>
    </xf>
    <xf numFmtId="4" fontId="5" fillId="0" borderId="21" xfId="0" applyNumberFormat="1" applyFont="1" applyFill="1" applyBorder="1" applyAlignment="1">
      <alignment horizontal="center" vertical="center" wrapText="1"/>
    </xf>
    <xf numFmtId="4" fontId="5" fillId="0" borderId="22" xfId="0" applyNumberFormat="1" applyFont="1" applyFill="1" applyBorder="1" applyAlignment="1">
      <alignment horizontal="center" vertical="center" wrapText="1"/>
    </xf>
    <xf numFmtId="49" fontId="5" fillId="25" borderId="23" xfId="0" applyNumberFormat="1" applyFont="1" applyFill="1" applyBorder="1" applyAlignment="1">
      <alignment horizontal="center" vertical="center" wrapText="1"/>
    </xf>
    <xf numFmtId="0" fontId="5" fillId="25" borderId="25" xfId="0" applyNumberFormat="1" applyFont="1" applyFill="1" applyBorder="1" applyAlignment="1">
      <alignment horizontal="center" vertical="center" wrapText="1"/>
    </xf>
    <xf numFmtId="4" fontId="5" fillId="0" borderId="26" xfId="0" applyNumberFormat="1" applyFont="1" applyFill="1" applyBorder="1" applyAlignment="1">
      <alignment horizontal="center" vertical="center" wrapText="1"/>
    </xf>
    <xf numFmtId="4" fontId="5" fillId="0" borderId="27" xfId="0" applyNumberFormat="1" applyFont="1" applyFill="1" applyBorder="1" applyAlignment="1">
      <alignment horizontal="center" vertical="center" wrapText="1"/>
    </xf>
    <xf numFmtId="4" fontId="5" fillId="25" borderId="27" xfId="0" applyNumberFormat="1" applyFont="1" applyFill="1" applyBorder="1" applyAlignment="1">
      <alignment horizontal="center" vertical="center" wrapText="1"/>
    </xf>
    <xf numFmtId="4" fontId="5" fillId="25" borderId="28" xfId="62" applyNumberFormat="1" applyFont="1" applyFill="1" applyBorder="1" applyAlignment="1">
      <alignment horizontal="center" vertical="center" wrapText="1"/>
    </xf>
    <xf numFmtId="4" fontId="3" fillId="0" borderId="29" xfId="0" applyNumberFormat="1" applyFont="1" applyFill="1" applyBorder="1" applyAlignment="1">
      <alignment horizontal="center" vertical="center" wrapText="1"/>
    </xf>
    <xf numFmtId="177" fontId="5" fillId="25" borderId="30" xfId="0" applyNumberFormat="1" applyFont="1" applyFill="1" applyBorder="1" applyAlignment="1">
      <alignment horizontal="center" vertical="center" wrapText="1"/>
    </xf>
    <xf numFmtId="0" fontId="5" fillId="25" borderId="30" xfId="0" applyFont="1" applyFill="1" applyBorder="1" applyAlignment="1">
      <alignment horizontal="center" vertical="center" wrapText="1"/>
    </xf>
    <xf numFmtId="4" fontId="5" fillId="0" borderId="31" xfId="0" applyNumberFormat="1" applyFont="1" applyFill="1" applyBorder="1" applyAlignment="1">
      <alignment horizontal="center" vertical="center" wrapText="1"/>
    </xf>
    <xf numFmtId="4" fontId="5" fillId="25" borderId="32" xfId="0" applyNumberFormat="1" applyFont="1" applyFill="1" applyBorder="1" applyAlignment="1">
      <alignment horizontal="center" vertical="center" wrapText="1"/>
    </xf>
    <xf numFmtId="4" fontId="5" fillId="0" borderId="32" xfId="0" applyNumberFormat="1" applyFont="1" applyFill="1" applyBorder="1" applyAlignment="1">
      <alignment horizontal="center" vertical="center" wrapText="1"/>
    </xf>
    <xf numFmtId="4" fontId="5" fillId="25" borderId="31" xfId="0" applyNumberFormat="1" applyFont="1" applyFill="1" applyBorder="1" applyAlignment="1">
      <alignment horizontal="center" vertical="center" wrapText="1"/>
    </xf>
    <xf numFmtId="177" fontId="5" fillId="25" borderId="14" xfId="0" applyNumberFormat="1" applyFont="1" applyFill="1" applyBorder="1" applyAlignment="1">
      <alignment horizontal="center" vertical="center" wrapText="1"/>
    </xf>
    <xf numFmtId="0" fontId="5" fillId="25" borderId="14" xfId="0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0" fontId="6" fillId="25" borderId="14" xfId="0" applyFont="1" applyFill="1" applyBorder="1" applyAlignment="1">
      <alignment horizontal="center" vertical="center" wrapText="1"/>
    </xf>
    <xf numFmtId="0" fontId="6" fillId="25" borderId="17" xfId="0" applyFont="1" applyFill="1" applyBorder="1" applyAlignment="1">
      <alignment horizontal="center" vertical="center" wrapText="1"/>
    </xf>
    <xf numFmtId="177" fontId="5" fillId="25" borderId="33" xfId="0" applyNumberFormat="1" applyFont="1" applyFill="1" applyBorder="1" applyAlignment="1">
      <alignment horizontal="center" vertical="center" wrapText="1"/>
    </xf>
    <xf numFmtId="0" fontId="5" fillId="25" borderId="33" xfId="0" applyFont="1" applyFill="1" applyBorder="1" applyAlignment="1">
      <alignment horizontal="center" vertical="center" wrapText="1"/>
    </xf>
    <xf numFmtId="4" fontId="5" fillId="25" borderId="34" xfId="0" applyNumberFormat="1" applyFont="1" applyFill="1" applyBorder="1" applyAlignment="1">
      <alignment horizontal="center" vertical="center" wrapText="1"/>
    </xf>
    <xf numFmtId="4" fontId="5" fillId="25" borderId="35" xfId="0" applyNumberFormat="1" applyFont="1" applyFill="1" applyBorder="1" applyAlignment="1">
      <alignment horizontal="center" vertical="center" wrapText="1"/>
    </xf>
    <xf numFmtId="4" fontId="5" fillId="0" borderId="35" xfId="0" applyNumberFormat="1" applyFont="1" applyFill="1" applyBorder="1" applyAlignment="1">
      <alignment horizontal="center" vertical="center" wrapText="1"/>
    </xf>
    <xf numFmtId="177" fontId="5" fillId="25" borderId="20" xfId="0" applyNumberFormat="1" applyFont="1" applyFill="1" applyBorder="1" applyAlignment="1">
      <alignment horizontal="center" vertical="center" wrapText="1"/>
    </xf>
    <xf numFmtId="0" fontId="5" fillId="25" borderId="20" xfId="0" applyFont="1" applyFill="1" applyBorder="1" applyAlignment="1">
      <alignment horizontal="center" vertical="center" wrapText="1"/>
    </xf>
    <xf numFmtId="0" fontId="5" fillId="25" borderId="23" xfId="0" applyFont="1" applyFill="1" applyBorder="1" applyAlignment="1">
      <alignment horizontal="center" vertical="center" wrapText="1"/>
    </xf>
    <xf numFmtId="4" fontId="5" fillId="25" borderId="26" xfId="0" applyNumberFormat="1" applyFont="1" applyFill="1" applyBorder="1" applyAlignment="1">
      <alignment horizontal="center" vertical="center" wrapText="1"/>
    </xf>
    <xf numFmtId="177" fontId="5" fillId="25" borderId="36" xfId="0" applyNumberFormat="1" applyFont="1" applyFill="1" applyBorder="1" applyAlignment="1">
      <alignment horizontal="center" vertical="center" wrapText="1"/>
    </xf>
    <xf numFmtId="0" fontId="5" fillId="25" borderId="36" xfId="0" applyFont="1" applyFill="1" applyBorder="1" applyAlignment="1">
      <alignment horizontal="center" vertical="center" wrapText="1"/>
    </xf>
    <xf numFmtId="4" fontId="5" fillId="25" borderId="37" xfId="0" applyNumberFormat="1" applyFont="1" applyFill="1" applyBorder="1" applyAlignment="1">
      <alignment horizontal="center" vertical="center" wrapText="1"/>
    </xf>
    <xf numFmtId="4" fontId="5" fillId="25" borderId="38" xfId="0" applyNumberFormat="1" applyFont="1" applyFill="1" applyBorder="1" applyAlignment="1">
      <alignment horizontal="center" vertical="center" wrapText="1"/>
    </xf>
    <xf numFmtId="4" fontId="5" fillId="0" borderId="38" xfId="0" applyNumberFormat="1" applyFont="1" applyFill="1" applyBorder="1" applyAlignment="1">
      <alignment horizontal="center" vertical="center" wrapText="1"/>
    </xf>
    <xf numFmtId="177" fontId="5" fillId="25" borderId="23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28" xfId="0" applyBorder="1" applyAlignment="1">
      <alignment/>
    </xf>
    <xf numFmtId="0" fontId="6" fillId="25" borderId="17" xfId="0" applyNumberFormat="1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39" xfId="0" applyBorder="1" applyAlignment="1">
      <alignment/>
    </xf>
    <xf numFmtId="0" fontId="6" fillId="25" borderId="23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40" xfId="0" applyBorder="1" applyAlignment="1">
      <alignment/>
    </xf>
    <xf numFmtId="0" fontId="6" fillId="25" borderId="36" xfId="0" applyNumberFormat="1" applyFont="1" applyFill="1" applyBorder="1" applyAlignment="1">
      <alignment horizontal="center" vertical="center" wrapText="1"/>
    </xf>
    <xf numFmtId="0" fontId="5" fillId="25" borderId="41" xfId="0" applyNumberFormat="1" applyFont="1" applyFill="1" applyBorder="1" applyAlignment="1">
      <alignment horizontal="center" vertical="center" wrapText="1"/>
    </xf>
    <xf numFmtId="0" fontId="5" fillId="25" borderId="42" xfId="0" applyNumberFormat="1" applyFont="1" applyFill="1" applyBorder="1" applyAlignment="1">
      <alignment horizontal="center" vertical="center" wrapText="1"/>
    </xf>
    <xf numFmtId="0" fontId="6" fillId="25" borderId="20" xfId="0" applyNumberFormat="1" applyFont="1" applyFill="1" applyBorder="1" applyAlignment="1">
      <alignment horizontal="center" vertical="center" wrapText="1"/>
    </xf>
    <xf numFmtId="4" fontId="3" fillId="26" borderId="12" xfId="0" applyNumberFormat="1" applyFont="1" applyFill="1" applyBorder="1" applyAlignment="1">
      <alignment horizontal="center" vertical="center" wrapText="1"/>
    </xf>
    <xf numFmtId="4" fontId="3" fillId="26" borderId="30" xfId="0" applyNumberFormat="1" applyFont="1" applyFill="1" applyBorder="1" applyAlignment="1">
      <alignment horizontal="center" vertical="center" wrapText="1"/>
    </xf>
    <xf numFmtId="4" fontId="5" fillId="25" borderId="39" xfId="62" applyNumberFormat="1" applyFont="1" applyFill="1" applyBorder="1" applyAlignment="1">
      <alignment horizontal="center" vertical="center" wrapText="1"/>
    </xf>
    <xf numFmtId="4" fontId="3" fillId="26" borderId="43" xfId="0" applyNumberFormat="1" applyFont="1" applyFill="1" applyBorder="1" applyAlignment="1">
      <alignment horizontal="center" vertical="center" wrapText="1"/>
    </xf>
    <xf numFmtId="4" fontId="5" fillId="25" borderId="40" xfId="62" applyNumberFormat="1" applyFont="1" applyFill="1" applyBorder="1" applyAlignment="1">
      <alignment horizontal="center" vertical="center" wrapText="1"/>
    </xf>
    <xf numFmtId="4" fontId="3" fillId="26" borderId="36" xfId="0" applyNumberFormat="1" applyFont="1" applyFill="1" applyBorder="1" applyAlignment="1">
      <alignment horizontal="center" vertical="center" wrapText="1"/>
    </xf>
    <xf numFmtId="4" fontId="7" fillId="25" borderId="22" xfId="0" applyNumberFormat="1" applyFont="1" applyFill="1" applyBorder="1" applyAlignment="1">
      <alignment horizontal="center" vertical="center" wrapText="1"/>
    </xf>
    <xf numFmtId="4" fontId="7" fillId="25" borderId="27" xfId="0" applyNumberFormat="1" applyFont="1" applyFill="1" applyBorder="1" applyAlignment="1">
      <alignment horizontal="center" vertical="center" wrapText="1"/>
    </xf>
    <xf numFmtId="4" fontId="5" fillId="0" borderId="40" xfId="62" applyNumberFormat="1" applyFont="1" applyBorder="1" applyAlignment="1">
      <alignment horizontal="center" vertical="center" wrapText="1"/>
    </xf>
    <xf numFmtId="4" fontId="3" fillId="26" borderId="23" xfId="0" applyNumberFormat="1" applyFont="1" applyFill="1" applyBorder="1" applyAlignment="1">
      <alignment horizontal="center" vertical="center" wrapText="1"/>
    </xf>
    <xf numFmtId="4" fontId="8" fillId="25" borderId="40" xfId="62" applyNumberFormat="1" applyFont="1" applyFill="1" applyBorder="1" applyAlignment="1">
      <alignment horizontal="center" vertical="center" wrapText="1"/>
    </xf>
    <xf numFmtId="4" fontId="5" fillId="0" borderId="44" xfId="43" applyNumberFormat="1" applyFont="1" applyFill="1" applyBorder="1" applyAlignment="1">
      <alignment horizontal="center" vertical="center" wrapText="1"/>
    </xf>
    <xf numFmtId="4" fontId="7" fillId="0" borderId="32" xfId="0" applyNumberFormat="1" applyFont="1" applyFill="1" applyBorder="1" applyAlignment="1">
      <alignment horizontal="center" vertical="center" wrapText="1"/>
    </xf>
    <xf numFmtId="4" fontId="7" fillId="25" borderId="35" xfId="0" applyNumberFormat="1" applyFont="1" applyFill="1" applyBorder="1" applyAlignment="1">
      <alignment horizontal="center" vertical="center" wrapText="1"/>
    </xf>
    <xf numFmtId="178" fontId="3" fillId="0" borderId="13" xfId="0" applyNumberFormat="1" applyFont="1" applyFill="1" applyBorder="1" applyAlignment="1">
      <alignment horizontal="center" vertical="center" wrapText="1"/>
    </xf>
    <xf numFmtId="4" fontId="3" fillId="0" borderId="32" xfId="0" applyNumberFormat="1" applyFont="1" applyFill="1" applyBorder="1" applyAlignment="1">
      <alignment horizontal="center" vertical="center" wrapText="1"/>
    </xf>
    <xf numFmtId="4" fontId="3" fillId="0" borderId="45" xfId="0" applyNumberFormat="1" applyFont="1" applyFill="1" applyBorder="1" applyAlignment="1">
      <alignment horizontal="center" vertical="center" wrapText="1"/>
    </xf>
    <xf numFmtId="4" fontId="3" fillId="26" borderId="14" xfId="0" applyNumberFormat="1" applyFont="1" applyFill="1" applyBorder="1" applyAlignment="1">
      <alignment horizontal="center" vertical="center" wrapText="1"/>
    </xf>
    <xf numFmtId="4" fontId="7" fillId="25" borderId="46" xfId="0" applyNumberFormat="1" applyFont="1" applyFill="1" applyBorder="1" applyAlignment="1">
      <alignment horizontal="center" vertical="center" wrapText="1"/>
    </xf>
    <xf numFmtId="4" fontId="7" fillId="25" borderId="32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4" fontId="3" fillId="0" borderId="47" xfId="0" applyNumberFormat="1" applyFont="1" applyFill="1" applyBorder="1" applyAlignment="1">
      <alignment horizontal="center" vertical="center" wrapText="1"/>
    </xf>
    <xf numFmtId="4" fontId="7" fillId="25" borderId="28" xfId="0" applyNumberFormat="1" applyFont="1" applyFill="1" applyBorder="1" applyAlignment="1">
      <alignment horizontal="center" vertical="center" wrapText="1"/>
    </xf>
    <xf numFmtId="4" fontId="7" fillId="25" borderId="27" xfId="0" applyNumberFormat="1" applyFont="1" applyFill="1" applyBorder="1" applyAlignment="1">
      <alignment horizontal="center" vertical="center" wrapText="1"/>
    </xf>
    <xf numFmtId="4" fontId="7" fillId="25" borderId="28" xfId="0" applyNumberFormat="1" applyFont="1" applyFill="1" applyBorder="1" applyAlignment="1">
      <alignment horizontal="center" vertical="center" wrapText="1"/>
    </xf>
    <xf numFmtId="4" fontId="3" fillId="0" borderId="35" xfId="0" applyNumberFormat="1" applyFont="1" applyFill="1" applyBorder="1" applyAlignment="1">
      <alignment horizontal="center" vertical="center" wrapText="1"/>
    </xf>
    <xf numFmtId="4" fontId="3" fillId="0" borderId="48" xfId="0" applyNumberFormat="1" applyFont="1" applyFill="1" applyBorder="1" applyAlignment="1">
      <alignment horizontal="center" vertical="center" wrapText="1"/>
    </xf>
    <xf numFmtId="4" fontId="3" fillId="26" borderId="33" xfId="0" applyNumberFormat="1" applyFont="1" applyFill="1" applyBorder="1" applyAlignment="1">
      <alignment horizontal="center" vertical="center" wrapText="1"/>
    </xf>
    <xf numFmtId="4" fontId="7" fillId="25" borderId="49" xfId="0" applyNumberFormat="1" applyFont="1" applyFill="1" applyBorder="1" applyAlignment="1">
      <alignment horizontal="center" vertical="center" wrapText="1"/>
    </xf>
    <xf numFmtId="4" fontId="7" fillId="25" borderId="35" xfId="0" applyNumberFormat="1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center" vertical="center" wrapText="1"/>
    </xf>
    <xf numFmtId="4" fontId="3" fillId="0" borderId="24" xfId="0" applyNumberFormat="1" applyFont="1" applyFill="1" applyBorder="1" applyAlignment="1">
      <alignment horizontal="center" vertical="center" wrapText="1"/>
    </xf>
    <xf numFmtId="4" fontId="7" fillId="25" borderId="22" xfId="0" applyNumberFormat="1" applyFont="1" applyFill="1" applyBorder="1" applyAlignment="1">
      <alignment horizontal="center" vertical="center" wrapText="1"/>
    </xf>
    <xf numFmtId="4" fontId="3" fillId="0" borderId="27" xfId="0" applyNumberFormat="1" applyFont="1" applyFill="1" applyBorder="1" applyAlignment="1">
      <alignment horizontal="center" vertical="center" wrapText="1"/>
    </xf>
    <xf numFmtId="4" fontId="3" fillId="0" borderId="41" xfId="0" applyNumberFormat="1" applyFont="1" applyFill="1" applyBorder="1" applyAlignment="1">
      <alignment horizontal="center" vertical="center" wrapText="1"/>
    </xf>
    <xf numFmtId="4" fontId="3" fillId="0" borderId="38" xfId="0" applyNumberFormat="1" applyFont="1" applyFill="1" applyBorder="1" applyAlignment="1">
      <alignment horizontal="center" vertical="center" wrapText="1"/>
    </xf>
    <xf numFmtId="4" fontId="3" fillId="0" borderId="50" xfId="0" applyNumberFormat="1" applyFont="1" applyFill="1" applyBorder="1" applyAlignment="1">
      <alignment horizontal="center" vertical="center" wrapText="1"/>
    </xf>
    <xf numFmtId="4" fontId="7" fillId="25" borderId="51" xfId="0" applyNumberFormat="1" applyFont="1" applyFill="1" applyBorder="1" applyAlignment="1">
      <alignment horizontal="center" vertical="center" wrapText="1"/>
    </xf>
    <xf numFmtId="4" fontId="7" fillId="25" borderId="38" xfId="0" applyNumberFormat="1" applyFont="1" applyFill="1" applyBorder="1" applyAlignment="1">
      <alignment horizontal="center" vertical="center" wrapText="1"/>
    </xf>
    <xf numFmtId="4" fontId="5" fillId="0" borderId="25" xfId="43" applyNumberFormat="1" applyFont="1" applyFill="1" applyBorder="1" applyAlignment="1">
      <alignment horizontal="center" vertical="center" wrapText="1"/>
    </xf>
    <xf numFmtId="4" fontId="5" fillId="0" borderId="0" xfId="43" applyNumberFormat="1" applyFont="1" applyFill="1" applyBorder="1" applyAlignment="1">
      <alignment horizontal="center" vertical="center" wrapText="1"/>
    </xf>
    <xf numFmtId="4" fontId="5" fillId="0" borderId="24" xfId="43" applyNumberFormat="1" applyFont="1" applyFill="1" applyBorder="1" applyAlignment="1">
      <alignment horizontal="center" vertical="center" wrapText="1"/>
    </xf>
    <xf numFmtId="4" fontId="7" fillId="0" borderId="27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25" borderId="30" xfId="0" applyNumberFormat="1" applyFont="1" applyFill="1" applyBorder="1" applyAlignment="1">
      <alignment horizontal="center" vertical="center" wrapText="1"/>
    </xf>
    <xf numFmtId="4" fontId="3" fillId="25" borderId="23" xfId="0" applyNumberFormat="1" applyFont="1" applyFill="1" applyBorder="1" applyAlignment="1">
      <alignment horizontal="center" vertical="center" wrapText="1"/>
    </xf>
    <xf numFmtId="4" fontId="5" fillId="0" borderId="52" xfId="43" applyNumberFormat="1" applyFont="1" applyFill="1" applyBorder="1" applyAlignment="1">
      <alignment horizontal="center" vertical="center" wrapText="1"/>
    </xf>
    <xf numFmtId="4" fontId="3" fillId="0" borderId="53" xfId="0" applyNumberFormat="1" applyFont="1" applyFill="1" applyBorder="1" applyAlignment="1">
      <alignment horizontal="center" vertical="center" wrapText="1"/>
    </xf>
    <xf numFmtId="4" fontId="3" fillId="26" borderId="53" xfId="0" applyNumberFormat="1" applyFont="1" applyFill="1" applyBorder="1" applyAlignment="1">
      <alignment horizontal="center" vertical="center" wrapText="1"/>
    </xf>
    <xf numFmtId="4" fontId="3" fillId="0" borderId="44" xfId="0" applyNumberFormat="1" applyFont="1" applyFill="1" applyBorder="1" applyAlignment="1">
      <alignment horizontal="center" vertical="center" wrapText="1"/>
    </xf>
    <xf numFmtId="4" fontId="3" fillId="0" borderId="30" xfId="0" applyNumberFormat="1" applyFont="1" applyFill="1" applyBorder="1" applyAlignment="1">
      <alignment horizontal="center" vertical="center" wrapText="1"/>
    </xf>
    <xf numFmtId="4" fontId="3" fillId="0" borderId="25" xfId="0" applyNumberFormat="1" applyFont="1" applyFill="1" applyBorder="1" applyAlignment="1">
      <alignment horizontal="center" vertical="center" wrapText="1"/>
    </xf>
    <xf numFmtId="4" fontId="3" fillId="0" borderId="23" xfId="0" applyNumberFormat="1" applyFont="1" applyFill="1" applyBorder="1" applyAlignment="1">
      <alignment horizontal="center" vertical="center" wrapText="1"/>
    </xf>
    <xf numFmtId="4" fontId="3" fillId="0" borderId="54" xfId="0" applyNumberFormat="1" applyFont="1" applyFill="1" applyBorder="1" applyAlignment="1">
      <alignment horizontal="center" vertical="center" wrapText="1"/>
    </xf>
    <xf numFmtId="4" fontId="3" fillId="0" borderId="36" xfId="0" applyNumberFormat="1" applyFont="1" applyFill="1" applyBorder="1" applyAlignment="1">
      <alignment horizontal="center" vertical="center" wrapText="1"/>
    </xf>
    <xf numFmtId="4" fontId="3" fillId="0" borderId="52" xfId="0" applyNumberFormat="1" applyFont="1" applyFill="1" applyBorder="1" applyAlignment="1">
      <alignment horizontal="center" vertical="center" wrapText="1"/>
    </xf>
    <xf numFmtId="4" fontId="3" fillId="0" borderId="33" xfId="0" applyNumberFormat="1" applyFont="1" applyFill="1" applyBorder="1" applyAlignment="1">
      <alignment horizontal="center" vertical="center" wrapText="1"/>
    </xf>
    <xf numFmtId="16" fontId="3" fillId="0" borderId="12" xfId="0" applyNumberFormat="1" applyFont="1" applyFill="1" applyBorder="1" applyAlignment="1">
      <alignment horizontal="center" vertical="center" wrapText="1"/>
    </xf>
    <xf numFmtId="177" fontId="9" fillId="25" borderId="55" xfId="0" applyNumberFormat="1" applyFont="1" applyFill="1" applyBorder="1" applyAlignment="1">
      <alignment horizontal="center" vertical="center" wrapText="1"/>
    </xf>
    <xf numFmtId="0" fontId="6" fillId="25" borderId="55" xfId="0" applyFont="1" applyFill="1" applyBorder="1" applyAlignment="1">
      <alignment horizontal="center" vertical="center" wrapText="1"/>
    </xf>
    <xf numFmtId="4" fontId="5" fillId="25" borderId="56" xfId="62" applyNumberFormat="1" applyFont="1" applyFill="1" applyBorder="1" applyAlignment="1">
      <alignment horizontal="center" vertical="center" wrapText="1"/>
    </xf>
    <xf numFmtId="4" fontId="5" fillId="0" borderId="57" xfId="0" applyNumberFormat="1" applyFont="1" applyFill="1" applyBorder="1" applyAlignment="1">
      <alignment horizontal="center" vertical="center" wrapText="1"/>
    </xf>
    <xf numFmtId="177" fontId="10" fillId="0" borderId="29" xfId="0" applyNumberFormat="1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177" fontId="9" fillId="0" borderId="58" xfId="0" applyNumberFormat="1" applyFont="1" applyFill="1" applyBorder="1" applyAlignment="1">
      <alignment horizontal="center" vertical="center" wrapText="1"/>
    </xf>
    <xf numFmtId="0" fontId="6" fillId="25" borderId="59" xfId="0" applyFont="1" applyFill="1" applyBorder="1" applyAlignment="1">
      <alignment horizontal="center" vertical="center" wrapText="1"/>
    </xf>
    <xf numFmtId="4" fontId="5" fillId="0" borderId="56" xfId="0" applyNumberFormat="1" applyFont="1" applyFill="1" applyBorder="1" applyAlignment="1">
      <alignment horizontal="center" vertical="center" wrapText="1"/>
    </xf>
    <xf numFmtId="4" fontId="5" fillId="0" borderId="60" xfId="0" applyNumberFormat="1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177" fontId="9" fillId="0" borderId="61" xfId="0" applyNumberFormat="1" applyFont="1" applyFill="1" applyBorder="1" applyAlignment="1">
      <alignment horizontal="center" vertical="center" wrapText="1"/>
    </xf>
    <xf numFmtId="0" fontId="6" fillId="25" borderId="62" xfId="0" applyFont="1" applyFill="1" applyBorder="1" applyAlignment="1">
      <alignment horizontal="center" vertical="center" wrapText="1"/>
    </xf>
    <xf numFmtId="4" fontId="5" fillId="25" borderId="63" xfId="0" applyNumberFormat="1" applyFont="1" applyFill="1" applyBorder="1" applyAlignment="1">
      <alignment horizontal="center" vertical="center" wrapText="1"/>
    </xf>
    <xf numFmtId="4" fontId="5" fillId="25" borderId="60" xfId="0" applyNumberFormat="1" applyFont="1" applyFill="1" applyBorder="1" applyAlignment="1">
      <alignment horizontal="center" vertical="center" wrapText="1"/>
    </xf>
    <xf numFmtId="49" fontId="9" fillId="0" borderId="64" xfId="0" applyNumberFormat="1" applyFont="1" applyFill="1" applyBorder="1" applyAlignment="1">
      <alignment horizontal="center" vertical="center" wrapText="1"/>
    </xf>
    <xf numFmtId="4" fontId="5" fillId="25" borderId="65" xfId="0" applyNumberFormat="1" applyFont="1" applyFill="1" applyBorder="1" applyAlignment="1">
      <alignment horizontal="center" vertical="center" wrapText="1"/>
    </xf>
    <xf numFmtId="4" fontId="5" fillId="25" borderId="51" xfId="0" applyNumberFormat="1" applyFont="1" applyFill="1" applyBorder="1" applyAlignment="1">
      <alignment horizontal="center" vertical="center" wrapText="1"/>
    </xf>
    <xf numFmtId="4" fontId="5" fillId="0" borderId="51" xfId="0" applyNumberFormat="1" applyFont="1" applyFill="1" applyBorder="1" applyAlignment="1">
      <alignment horizontal="center" vertical="center" wrapText="1"/>
    </xf>
    <xf numFmtId="177" fontId="9" fillId="0" borderId="66" xfId="0" applyNumberFormat="1" applyFont="1" applyFill="1" applyBorder="1" applyAlignment="1">
      <alignment horizontal="center" vertical="center" wrapText="1"/>
    </xf>
    <xf numFmtId="0" fontId="5" fillId="25" borderId="59" xfId="0" applyFont="1" applyFill="1" applyBorder="1" applyAlignment="1">
      <alignment horizontal="center" vertical="center" wrapText="1"/>
    </xf>
    <xf numFmtId="4" fontId="8" fillId="25" borderId="22" xfId="0" applyNumberFormat="1" applyFont="1" applyFill="1" applyBorder="1" applyAlignment="1">
      <alignment horizontal="center" vertical="center" wrapText="1"/>
    </xf>
    <xf numFmtId="177" fontId="9" fillId="0" borderId="67" xfId="0" applyNumberFormat="1" applyFont="1" applyFill="1" applyBorder="1" applyAlignment="1">
      <alignment horizontal="center" vertical="center" wrapText="1"/>
    </xf>
    <xf numFmtId="0" fontId="6" fillId="25" borderId="36" xfId="0" applyFont="1" applyFill="1" applyBorder="1" applyAlignment="1">
      <alignment horizontal="center" vertical="center" wrapText="1"/>
    </xf>
    <xf numFmtId="177" fontId="3" fillId="0" borderId="55" xfId="0" applyNumberFormat="1" applyFont="1" applyFill="1" applyBorder="1" applyAlignment="1">
      <alignment horizontal="center" vertical="center" wrapText="1"/>
    </xf>
    <xf numFmtId="0" fontId="3" fillId="24" borderId="55" xfId="0" applyFont="1" applyFill="1" applyBorder="1" applyAlignment="1">
      <alignment horizontal="center" vertical="center" wrapText="1"/>
    </xf>
    <xf numFmtId="4" fontId="3" fillId="0" borderId="68" xfId="0" applyNumberFormat="1" applyFont="1" applyFill="1" applyBorder="1" applyAlignment="1">
      <alignment horizontal="center" vertical="center" wrapText="1"/>
    </xf>
    <xf numFmtId="177" fontId="9" fillId="25" borderId="20" xfId="0" applyNumberFormat="1" applyFont="1" applyFill="1" applyBorder="1" applyAlignment="1">
      <alignment horizontal="center" vertical="center" wrapText="1"/>
    </xf>
    <xf numFmtId="177" fontId="9" fillId="25" borderId="17" xfId="0" applyNumberFormat="1" applyFont="1" applyFill="1" applyBorder="1" applyAlignment="1">
      <alignment horizontal="center" vertical="center" wrapText="1"/>
    </xf>
    <xf numFmtId="0" fontId="5" fillId="25" borderId="55" xfId="0" applyFont="1" applyFill="1" applyBorder="1" applyAlignment="1">
      <alignment horizontal="center" vertical="center" wrapText="1"/>
    </xf>
    <xf numFmtId="4" fontId="5" fillId="0" borderId="68" xfId="0" applyNumberFormat="1" applyFont="1" applyFill="1" applyBorder="1" applyAlignment="1">
      <alignment horizontal="center" vertical="center" wrapText="1"/>
    </xf>
    <xf numFmtId="4" fontId="5" fillId="25" borderId="57" xfId="0" applyNumberFormat="1" applyFont="1" applyFill="1" applyBorder="1" applyAlignment="1">
      <alignment horizontal="center" vertical="center" wrapText="1"/>
    </xf>
    <xf numFmtId="0" fontId="5" fillId="25" borderId="69" xfId="0" applyFont="1" applyFill="1" applyBorder="1" applyAlignment="1">
      <alignment horizontal="center" vertical="center" wrapText="1"/>
    </xf>
    <xf numFmtId="4" fontId="5" fillId="0" borderId="70" xfId="0" applyNumberFormat="1" applyFont="1" applyFill="1" applyBorder="1" applyAlignment="1">
      <alignment horizontal="center" vertical="center" wrapText="1"/>
    </xf>
    <xf numFmtId="4" fontId="5" fillId="0" borderId="71" xfId="0" applyNumberFormat="1" applyFont="1" applyFill="1" applyBorder="1" applyAlignment="1">
      <alignment horizontal="center" vertical="center" wrapText="1"/>
    </xf>
    <xf numFmtId="4" fontId="5" fillId="25" borderId="71" xfId="0" applyNumberFormat="1" applyFont="1" applyFill="1" applyBorder="1" applyAlignment="1">
      <alignment horizontal="center" vertical="center" wrapText="1"/>
    </xf>
    <xf numFmtId="0" fontId="5" fillId="25" borderId="17" xfId="0" applyFont="1" applyFill="1" applyBorder="1" applyAlignment="1">
      <alignment horizontal="center" vertical="center" wrapText="1"/>
    </xf>
    <xf numFmtId="177" fontId="9" fillId="25" borderId="14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0" fontId="5" fillId="25" borderId="62" xfId="0" applyFont="1" applyFill="1" applyBorder="1" applyAlignment="1">
      <alignment horizontal="center" vertical="center" wrapText="1"/>
    </xf>
    <xf numFmtId="4" fontId="8" fillId="0" borderId="18" xfId="0" applyNumberFormat="1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4" fontId="7" fillId="0" borderId="38" xfId="0" applyNumberFormat="1" applyFont="1" applyFill="1" applyBorder="1" applyAlignment="1">
      <alignment horizontal="center" vertical="center" wrapText="1"/>
    </xf>
    <xf numFmtId="4" fontId="3" fillId="0" borderId="72" xfId="0" applyNumberFormat="1" applyFont="1" applyFill="1" applyBorder="1" applyAlignment="1">
      <alignment horizontal="center" vertical="center" wrapText="1"/>
    </xf>
    <xf numFmtId="4" fontId="5" fillId="0" borderId="73" xfId="43" applyNumberFormat="1" applyFont="1" applyFill="1" applyBorder="1" applyAlignment="1">
      <alignment horizontal="center" vertical="center" wrapText="1"/>
    </xf>
    <xf numFmtId="4" fontId="3" fillId="26" borderId="17" xfId="0" applyNumberFormat="1" applyFont="1" applyFill="1" applyBorder="1" applyAlignment="1">
      <alignment horizontal="center" vertical="center" wrapText="1"/>
    </xf>
    <xf numFmtId="4" fontId="7" fillId="25" borderId="32" xfId="0" applyNumberFormat="1" applyFont="1" applyFill="1" applyBorder="1" applyAlignment="1">
      <alignment horizontal="center" vertical="center" wrapText="1"/>
    </xf>
    <xf numFmtId="4" fontId="7" fillId="25" borderId="46" xfId="0" applyNumberFormat="1" applyFont="1" applyFill="1" applyBorder="1" applyAlignment="1">
      <alignment horizontal="center" vertical="center" wrapText="1"/>
    </xf>
    <xf numFmtId="4" fontId="3" fillId="0" borderId="74" xfId="0" applyNumberFormat="1" applyFont="1" applyFill="1" applyBorder="1" applyAlignment="1">
      <alignment horizontal="center" vertical="center" wrapText="1"/>
    </xf>
    <xf numFmtId="4" fontId="5" fillId="0" borderId="75" xfId="43" applyNumberFormat="1" applyFont="1" applyFill="1" applyBorder="1" applyAlignment="1">
      <alignment horizontal="center" vertical="center" wrapText="1"/>
    </xf>
    <xf numFmtId="4" fontId="3" fillId="26" borderId="76" xfId="0" applyNumberFormat="1" applyFont="1" applyFill="1" applyBorder="1" applyAlignment="1">
      <alignment horizontal="center" vertical="center" wrapText="1"/>
    </xf>
    <xf numFmtId="4" fontId="5" fillId="0" borderId="77" xfId="43" applyNumberFormat="1" applyFont="1" applyFill="1" applyBorder="1" applyAlignment="1">
      <alignment horizontal="center" vertical="center" wrapText="1"/>
    </xf>
    <xf numFmtId="4" fontId="3" fillId="26" borderId="62" xfId="0" applyNumberFormat="1" applyFont="1" applyFill="1" applyBorder="1" applyAlignment="1">
      <alignment horizontal="center" vertical="center" wrapText="1"/>
    </xf>
    <xf numFmtId="4" fontId="5" fillId="0" borderId="78" xfId="43" applyNumberFormat="1" applyFont="1" applyFill="1" applyBorder="1" applyAlignment="1">
      <alignment horizontal="center" vertical="center" wrapText="1"/>
    </xf>
    <xf numFmtId="4" fontId="5" fillId="0" borderId="79" xfId="43" applyNumberFormat="1" applyFont="1" applyFill="1" applyBorder="1" applyAlignment="1">
      <alignment horizontal="center" vertical="center" wrapText="1"/>
    </xf>
    <xf numFmtId="4" fontId="3" fillId="26" borderId="55" xfId="0" applyNumberFormat="1" applyFont="1" applyFill="1" applyBorder="1" applyAlignment="1">
      <alignment horizontal="center" vertical="center" wrapText="1"/>
    </xf>
    <xf numFmtId="4" fontId="7" fillId="0" borderId="22" xfId="0" applyNumberFormat="1" applyFont="1" applyFill="1" applyBorder="1" applyAlignment="1">
      <alignment horizontal="center" vertical="center" wrapText="1"/>
    </xf>
    <xf numFmtId="4" fontId="7" fillId="0" borderId="19" xfId="0" applyNumberFormat="1" applyFont="1" applyFill="1" applyBorder="1" applyAlignment="1">
      <alignment horizontal="center" vertical="center" wrapText="1"/>
    </xf>
    <xf numFmtId="4" fontId="7" fillId="25" borderId="19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4" fontId="3" fillId="0" borderId="55" xfId="0" applyNumberFormat="1" applyFont="1" applyFill="1" applyBorder="1" applyAlignment="1">
      <alignment horizontal="center" vertical="center" wrapText="1"/>
    </xf>
    <xf numFmtId="4" fontId="7" fillId="0" borderId="0" xfId="43" applyNumberFormat="1" applyFont="1" applyFill="1" applyBorder="1" applyAlignment="1">
      <alignment horizontal="center" vertical="center" wrapText="1"/>
    </xf>
    <xf numFmtId="4" fontId="3" fillId="0" borderId="80" xfId="0" applyNumberFormat="1" applyFont="1" applyFill="1" applyBorder="1" applyAlignment="1">
      <alignment horizontal="center" vertical="center" wrapText="1"/>
    </xf>
    <xf numFmtId="4" fontId="3" fillId="0" borderId="81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0" fontId="2" fillId="25" borderId="0" xfId="0" applyFont="1" applyFill="1" applyAlignment="1">
      <alignment/>
    </xf>
    <xf numFmtId="0" fontId="2" fillId="25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25" borderId="0" xfId="0" applyFont="1" applyFill="1" applyAlignment="1">
      <alignment/>
    </xf>
    <xf numFmtId="0" fontId="2" fillId="25" borderId="0" xfId="0" applyFont="1" applyFill="1" applyAlignment="1">
      <alignment horizontal="left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78" fontId="3" fillId="26" borderId="12" xfId="0" applyNumberFormat="1" applyFont="1" applyFill="1" applyBorder="1" applyAlignment="1">
      <alignment horizontal="center" vertical="center" wrapText="1"/>
    </xf>
    <xf numFmtId="0" fontId="3" fillId="0" borderId="17" xfId="53" applyFont="1" applyFill="1" applyBorder="1" applyAlignment="1">
      <alignment horizontal="center" vertical="center" wrapText="1"/>
      <protection/>
    </xf>
    <xf numFmtId="0" fontId="3" fillId="0" borderId="53" xfId="53" applyFont="1" applyFill="1" applyBorder="1" applyAlignment="1">
      <alignment horizontal="center" vertical="center" wrapText="1"/>
      <protection/>
    </xf>
    <xf numFmtId="0" fontId="2" fillId="0" borderId="0" xfId="53" applyFont="1" applyAlignment="1">
      <alignment horizontal="center" vertical="center" wrapText="1"/>
      <protection/>
    </xf>
    <xf numFmtId="0" fontId="4" fillId="0" borderId="55" xfId="53" applyFont="1" applyFill="1" applyBorder="1" applyAlignment="1">
      <alignment horizontal="center" vertical="center" wrapText="1"/>
      <protection/>
    </xf>
    <xf numFmtId="0" fontId="4" fillId="0" borderId="53" xfId="53" applyFont="1" applyFill="1" applyBorder="1" applyAlignment="1">
      <alignment horizontal="center" vertical="center" wrapText="1"/>
      <protection/>
    </xf>
    <xf numFmtId="0" fontId="3" fillId="0" borderId="30" xfId="53" applyFont="1" applyFill="1" applyBorder="1" applyAlignment="1">
      <alignment horizontal="center" vertical="center" wrapText="1"/>
      <protection/>
    </xf>
    <xf numFmtId="0" fontId="3" fillId="0" borderId="69" xfId="53" applyFont="1" applyFill="1" applyBorder="1" applyAlignment="1">
      <alignment horizontal="center" vertical="center" wrapText="1"/>
      <protection/>
    </xf>
    <xf numFmtId="49" fontId="3" fillId="0" borderId="30" xfId="53" applyNumberFormat="1" applyFont="1" applyFill="1" applyBorder="1" applyAlignment="1">
      <alignment horizontal="center" vertical="center" wrapText="1"/>
      <protection/>
    </xf>
    <xf numFmtId="49" fontId="3" fillId="0" borderId="69" xfId="53" applyNumberFormat="1" applyFont="1" applyFill="1" applyBorder="1" applyAlignment="1">
      <alignment horizontal="center" vertical="center" wrapText="1"/>
      <protection/>
    </xf>
    <xf numFmtId="2" fontId="3" fillId="0" borderId="44" xfId="45" applyNumberFormat="1" applyFont="1" applyFill="1" applyBorder="1" applyAlignment="1">
      <alignment horizontal="center" vertical="center" wrapText="1"/>
    </xf>
    <xf numFmtId="2" fontId="3" fillId="0" borderId="82" xfId="45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25" borderId="0" xfId="0" applyFont="1" applyFill="1" applyAlignment="1">
      <alignment horizontal="left"/>
    </xf>
    <xf numFmtId="49" fontId="3" fillId="0" borderId="23" xfId="53" applyNumberFormat="1" applyFont="1" applyFill="1" applyBorder="1" applyAlignment="1">
      <alignment horizontal="center" vertical="center" wrapText="1"/>
      <protection/>
    </xf>
    <xf numFmtId="0" fontId="3" fillId="0" borderId="23" xfId="53" applyFont="1" applyFill="1" applyBorder="1" applyAlignment="1">
      <alignment horizontal="center" vertical="center" wrapText="1"/>
      <protection/>
    </xf>
    <xf numFmtId="0" fontId="3" fillId="0" borderId="83" xfId="53" applyFont="1" applyFill="1" applyBorder="1" applyAlignment="1">
      <alignment horizontal="center" vertical="center" wrapText="1"/>
      <protection/>
    </xf>
    <xf numFmtId="0" fontId="3" fillId="0" borderId="84" xfId="53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3" fillId="0" borderId="85" xfId="53" applyFont="1" applyFill="1" applyBorder="1" applyAlignment="1">
      <alignment horizontal="center" vertical="center" wrapText="1"/>
      <protection/>
    </xf>
    <xf numFmtId="0" fontId="2" fillId="25" borderId="0" xfId="0" applyFont="1" applyFill="1" applyAlignment="1">
      <alignment/>
    </xf>
    <xf numFmtId="0" fontId="2" fillId="0" borderId="0" xfId="0" applyNumberFormat="1" applyFont="1" applyFill="1" applyAlignment="1">
      <alignment horizontal="center" vertical="center" wrapText="1"/>
    </xf>
    <xf numFmtId="0" fontId="3" fillId="26" borderId="55" xfId="53" applyFont="1" applyFill="1" applyBorder="1" applyAlignment="1">
      <alignment horizontal="center" vertical="center" wrapText="1"/>
      <protection/>
    </xf>
    <xf numFmtId="0" fontId="3" fillId="26" borderId="17" xfId="53" applyFont="1" applyFill="1" applyBorder="1" applyAlignment="1">
      <alignment horizontal="center" vertical="center" wrapText="1"/>
      <protection/>
    </xf>
    <xf numFmtId="0" fontId="3" fillId="26" borderId="53" xfId="53" applyFont="1" applyFill="1" applyBorder="1" applyAlignment="1">
      <alignment horizontal="center" vertical="center" wrapText="1"/>
      <protection/>
    </xf>
    <xf numFmtId="0" fontId="3" fillId="0" borderId="44" xfId="53" applyFont="1" applyFill="1" applyBorder="1" applyAlignment="1">
      <alignment horizontal="center" vertical="center" wrapText="1"/>
      <protection/>
    </xf>
    <xf numFmtId="0" fontId="3" fillId="0" borderId="82" xfId="53" applyFont="1" applyFill="1" applyBorder="1" applyAlignment="1">
      <alignment horizontal="center" vertical="center" wrapText="1"/>
      <protection/>
    </xf>
    <xf numFmtId="0" fontId="2" fillId="25" borderId="0" xfId="53" applyFont="1" applyFill="1" applyAlignment="1">
      <alignment horizontal="center" vertical="center" wrapText="1"/>
      <protection/>
    </xf>
    <xf numFmtId="0" fontId="3" fillId="0" borderId="55" xfId="53" applyFont="1" applyFill="1" applyBorder="1" applyAlignment="1">
      <alignment horizontal="center" vertical="center" wrapText="1"/>
      <protection/>
    </xf>
  </cellXfs>
  <cellStyles count="51">
    <cellStyle name="Normal" xfId="0"/>
    <cellStyle name="20% — Акцент1" xfId="15"/>
    <cellStyle name="20% — Акцент2" xfId="16"/>
    <cellStyle name="20% — Акцент3" xfId="17"/>
    <cellStyle name="20% — Акцент4" xfId="18"/>
    <cellStyle name="20% — Акцент5" xfId="19"/>
    <cellStyle name="20% — Акцент6" xfId="20"/>
    <cellStyle name="40% — Акцент1" xfId="21"/>
    <cellStyle name="40% — Акцент2" xfId="22"/>
    <cellStyle name="40% — Акцент3" xfId="23"/>
    <cellStyle name="40% — Акцент4" xfId="24"/>
    <cellStyle name="40% — Акцент5" xfId="25"/>
    <cellStyle name="40% — Акцент6" xfId="26"/>
    <cellStyle name="60% — Акцент1" xfId="27"/>
    <cellStyle name="60% — Акцент2" xfId="28"/>
    <cellStyle name="60% — Акцент3" xfId="29"/>
    <cellStyle name="60% — Акцент4" xfId="30"/>
    <cellStyle name="60% — Акцент5" xfId="31"/>
    <cellStyle name="60% 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Лист1" xfId="45"/>
    <cellStyle name="Заголовок" xfId="46"/>
    <cellStyle name="Заголовок 1" xfId="47"/>
    <cellStyle name="Заголовок 2" xfId="48"/>
    <cellStyle name="Заголовок 3" xfId="49"/>
    <cellStyle name="Заголовок 4" xfId="50"/>
    <cellStyle name="Итого" xfId="51"/>
    <cellStyle name="Нейтральный" xfId="52"/>
    <cellStyle name="Обычный_Лист1" xfId="53"/>
    <cellStyle name="Followed Hyperlink" xfId="54"/>
    <cellStyle name="Плохой" xfId="55"/>
    <cellStyle name="Пояснительный текст" xfId="56"/>
    <cellStyle name="Предупреждающий текст" xfId="57"/>
    <cellStyle name="Примечание" xfId="58"/>
    <cellStyle name="Проверить ячейку" xfId="59"/>
    <cellStyle name="Percent" xfId="60"/>
    <cellStyle name="Связанная ячейка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4"/>
  <sheetViews>
    <sheetView tabSelected="1" zoomScaleSheetLayoutView="100" workbookViewId="0" topLeftCell="F1">
      <selection activeCell="Q12" sqref="Q12"/>
    </sheetView>
  </sheetViews>
  <sheetFormatPr defaultColWidth="9.125" defaultRowHeight="12.75"/>
  <cols>
    <col min="1" max="1" width="9.75390625" style="0" customWidth="1"/>
    <col min="2" max="2" width="51.125" style="0" customWidth="1"/>
    <col min="3" max="3" width="10.00390625" style="0" customWidth="1"/>
    <col min="4" max="4" width="11.375" style="0" customWidth="1"/>
    <col min="5" max="5" width="12.75390625" style="0" customWidth="1"/>
    <col min="6" max="6" width="12.00390625" style="0" customWidth="1"/>
    <col min="7" max="7" width="11.375" style="0" customWidth="1"/>
    <col min="8" max="8" width="9.375" style="0" customWidth="1"/>
    <col min="9" max="9" width="9.125" style="0" customWidth="1"/>
    <col min="10" max="10" width="10.25390625" style="0" customWidth="1"/>
    <col min="11" max="11" width="12.625" style="0" customWidth="1"/>
    <col min="12" max="12" width="10.125" style="0" customWidth="1"/>
    <col min="13" max="13" width="12.125" style="0" customWidth="1"/>
    <col min="14" max="14" width="12.75390625" style="0" customWidth="1"/>
    <col min="15" max="15" width="10.375" style="0" customWidth="1"/>
    <col min="16" max="16" width="11.875" style="0" customWidth="1"/>
    <col min="19" max="19" width="9.00390625" style="0" customWidth="1"/>
    <col min="20" max="20" width="13.00390625" style="0" customWidth="1"/>
    <col min="21" max="21" width="10.375" style="0" customWidth="1"/>
  </cols>
  <sheetData>
    <row r="1" spans="17:21" ht="55.5" customHeight="1">
      <c r="Q1" s="204" t="s">
        <v>82</v>
      </c>
      <c r="R1" s="204"/>
      <c r="S1" s="204"/>
      <c r="T1" s="204"/>
      <c r="U1" s="204"/>
    </row>
    <row r="2" spans="17:21" ht="42" customHeight="1">
      <c r="Q2" s="204"/>
      <c r="R2" s="204"/>
      <c r="S2" s="204"/>
      <c r="T2" s="204"/>
      <c r="U2" s="204"/>
    </row>
    <row r="3" ht="21.75" customHeight="1"/>
    <row r="4" spans="8:11" ht="12" customHeight="1">
      <c r="H4" s="1"/>
      <c r="I4" s="1"/>
      <c r="J4" s="1"/>
      <c r="K4" s="1"/>
    </row>
    <row r="5" spans="1:21" ht="13.5" customHeight="1">
      <c r="A5" s="228" t="s">
        <v>200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</row>
    <row r="6" spans="1:21" ht="24.75" customHeight="1">
      <c r="A6" s="228" t="s">
        <v>201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</row>
    <row r="8" spans="1:21" ht="12.75">
      <c r="A8" s="209" t="s">
        <v>202</v>
      </c>
      <c r="B8" s="207" t="s">
        <v>203</v>
      </c>
      <c r="C8" s="219" t="s">
        <v>204</v>
      </c>
      <c r="D8" s="220"/>
      <c r="E8" s="220"/>
      <c r="F8" s="220"/>
      <c r="G8" s="220"/>
      <c r="H8" s="220"/>
      <c r="I8" s="220"/>
      <c r="J8" s="220"/>
      <c r="K8" s="223" t="s">
        <v>205</v>
      </c>
      <c r="L8" s="220" t="s">
        <v>206</v>
      </c>
      <c r="M8" s="220"/>
      <c r="N8" s="220"/>
      <c r="O8" s="220"/>
      <c r="P8" s="220"/>
      <c r="Q8" s="220"/>
      <c r="R8" s="220"/>
      <c r="S8" s="220"/>
      <c r="T8" s="223" t="s">
        <v>205</v>
      </c>
      <c r="U8" s="229" t="s">
        <v>207</v>
      </c>
    </row>
    <row r="9" spans="1:21" ht="12.75">
      <c r="A9" s="215"/>
      <c r="B9" s="216"/>
      <c r="C9" s="217" t="s">
        <v>208</v>
      </c>
      <c r="D9" s="207" t="s">
        <v>209</v>
      </c>
      <c r="E9" s="219" t="s">
        <v>210</v>
      </c>
      <c r="F9" s="220"/>
      <c r="G9" s="205" t="s">
        <v>211</v>
      </c>
      <c r="H9" s="207" t="s">
        <v>212</v>
      </c>
      <c r="I9" s="209" t="s">
        <v>213</v>
      </c>
      <c r="J9" s="211" t="s">
        <v>214</v>
      </c>
      <c r="K9" s="224"/>
      <c r="L9" s="226" t="s">
        <v>208</v>
      </c>
      <c r="M9" s="207" t="s">
        <v>209</v>
      </c>
      <c r="N9" s="219" t="s">
        <v>210</v>
      </c>
      <c r="O9" s="220"/>
      <c r="P9" s="205" t="s">
        <v>215</v>
      </c>
      <c r="Q9" s="207" t="s">
        <v>216</v>
      </c>
      <c r="R9" s="209" t="s">
        <v>213</v>
      </c>
      <c r="S9" s="211" t="s">
        <v>217</v>
      </c>
      <c r="T9" s="224"/>
      <c r="U9" s="202"/>
    </row>
    <row r="10" spans="1:21" ht="63.75">
      <c r="A10" s="210"/>
      <c r="B10" s="208"/>
      <c r="C10" s="218"/>
      <c r="D10" s="208"/>
      <c r="E10" s="3" t="s">
        <v>218</v>
      </c>
      <c r="F10" s="2" t="s">
        <v>219</v>
      </c>
      <c r="G10" s="206"/>
      <c r="H10" s="208"/>
      <c r="I10" s="210"/>
      <c r="J10" s="212"/>
      <c r="K10" s="225"/>
      <c r="L10" s="227"/>
      <c r="M10" s="208"/>
      <c r="N10" s="3" t="s">
        <v>220</v>
      </c>
      <c r="O10" s="2" t="s">
        <v>219</v>
      </c>
      <c r="P10" s="206"/>
      <c r="Q10" s="208"/>
      <c r="R10" s="210"/>
      <c r="S10" s="212"/>
      <c r="T10" s="225"/>
      <c r="U10" s="203"/>
    </row>
    <row r="11" spans="1:21" ht="12.75">
      <c r="A11" s="4" t="s">
        <v>221</v>
      </c>
      <c r="B11" s="5" t="s">
        <v>222</v>
      </c>
      <c r="C11" s="6">
        <f aca="true" t="shared" si="0" ref="C11:J11">C12+C13+C17+C14+C15+C18+C19+C20+C21+C22+C23+C25+C16+C24</f>
        <v>0</v>
      </c>
      <c r="D11" s="6">
        <f t="shared" si="0"/>
        <v>134936</v>
      </c>
      <c r="E11" s="6">
        <f t="shared" si="0"/>
        <v>9028.1479</v>
      </c>
      <c r="F11" s="6">
        <f t="shared" si="0"/>
        <v>0</v>
      </c>
      <c r="G11" s="6">
        <f t="shared" si="0"/>
        <v>0</v>
      </c>
      <c r="H11" s="6">
        <f t="shared" si="0"/>
        <v>0</v>
      </c>
      <c r="I11" s="6">
        <f t="shared" si="0"/>
        <v>0</v>
      </c>
      <c r="J11" s="6">
        <f t="shared" si="0"/>
        <v>36525</v>
      </c>
      <c r="K11" s="70">
        <f aca="true" t="shared" si="1" ref="K11:K36">SUM(C11:J11)</f>
        <v>180489.1479</v>
      </c>
      <c r="L11" s="6">
        <f aca="true" t="shared" si="2" ref="L11:S11">L12+L13+L17+L14+L15+L18+L19+L20+L21+L22+L23+L25+L16</f>
        <v>0</v>
      </c>
      <c r="M11" s="6">
        <f t="shared" si="2"/>
        <v>92079.45067</v>
      </c>
      <c r="N11" s="6">
        <f t="shared" si="2"/>
        <v>6637.61955</v>
      </c>
      <c r="O11" s="6">
        <f t="shared" si="2"/>
        <v>0</v>
      </c>
      <c r="P11" s="6">
        <f t="shared" si="2"/>
        <v>0</v>
      </c>
      <c r="Q11" s="6">
        <f t="shared" si="2"/>
        <v>0</v>
      </c>
      <c r="R11" s="6">
        <f t="shared" si="2"/>
        <v>0</v>
      </c>
      <c r="S11" s="6">
        <f t="shared" si="2"/>
        <v>32142.01203</v>
      </c>
      <c r="T11" s="70">
        <f aca="true" t="shared" si="3" ref="T11:T18">SUM(L11:S11)</f>
        <v>130859.08225</v>
      </c>
      <c r="U11" s="113">
        <f aca="true" t="shared" si="4" ref="U11:U18">K11-T11</f>
        <v>49630.065650000004</v>
      </c>
    </row>
    <row r="12" spans="1:21" ht="51">
      <c r="A12" s="7" t="s">
        <v>223</v>
      </c>
      <c r="B12" s="8" t="s">
        <v>224</v>
      </c>
      <c r="C12" s="9"/>
      <c r="D12" s="10"/>
      <c r="E12" s="10"/>
      <c r="F12" s="10"/>
      <c r="G12" s="10"/>
      <c r="H12" s="10"/>
      <c r="I12" s="10"/>
      <c r="J12" s="28">
        <f>21935-0.38689+2000-86.333-141.59803-0.38689+400</f>
        <v>24106.295189999997</v>
      </c>
      <c r="K12" s="71">
        <f t="shared" si="1"/>
        <v>24106.295189999997</v>
      </c>
      <c r="L12" s="10"/>
      <c r="M12" s="10"/>
      <c r="N12" s="10"/>
      <c r="O12" s="10"/>
      <c r="P12" s="10"/>
      <c r="Q12" s="10"/>
      <c r="R12" s="10"/>
      <c r="S12" s="93">
        <f>1051.3436+676.08224+302.73716+7000+3000+3550.33496+4000+1526.25112+675.36768+107.77193+152.67583+152.625+361.6155+114.33482</f>
        <v>22671.13984</v>
      </c>
      <c r="T12" s="79">
        <f t="shared" si="3"/>
        <v>22671.13984</v>
      </c>
      <c r="U12" s="114">
        <f t="shared" si="4"/>
        <v>1435.1553499999973</v>
      </c>
    </row>
    <row r="13" spans="1:21" ht="63.75">
      <c r="A13" s="11" t="s">
        <v>225</v>
      </c>
      <c r="B13" s="12" t="s">
        <v>226</v>
      </c>
      <c r="C13" s="13"/>
      <c r="D13" s="14"/>
      <c r="E13" s="14"/>
      <c r="F13" s="14"/>
      <c r="G13" s="14"/>
      <c r="H13" s="14"/>
      <c r="I13" s="14"/>
      <c r="J13" s="72">
        <f>4500+250+50-2000-400</f>
        <v>2400</v>
      </c>
      <c r="K13" s="73">
        <f t="shared" si="1"/>
        <v>2400</v>
      </c>
      <c r="L13" s="27"/>
      <c r="M13" s="27"/>
      <c r="N13" s="27"/>
      <c r="O13" s="27"/>
      <c r="P13" s="27"/>
      <c r="Q13" s="27"/>
      <c r="R13" s="27"/>
      <c r="S13" s="93"/>
      <c r="T13" s="79">
        <f t="shared" si="3"/>
        <v>0</v>
      </c>
      <c r="U13" s="115">
        <f t="shared" si="4"/>
        <v>2400</v>
      </c>
    </row>
    <row r="14" spans="1:21" ht="51">
      <c r="A14" s="15" t="s">
        <v>227</v>
      </c>
      <c r="B14" s="16" t="s">
        <v>228</v>
      </c>
      <c r="C14" s="17"/>
      <c r="D14" s="18"/>
      <c r="E14" s="18"/>
      <c r="F14" s="18"/>
      <c r="G14" s="18"/>
      <c r="H14" s="18"/>
      <c r="I14" s="18"/>
      <c r="J14" s="74">
        <v>1419</v>
      </c>
      <c r="K14" s="75">
        <f t="shared" si="1"/>
        <v>1419</v>
      </c>
      <c r="L14" s="27"/>
      <c r="M14" s="27"/>
      <c r="N14" s="27"/>
      <c r="O14" s="27"/>
      <c r="P14" s="27"/>
      <c r="Q14" s="27"/>
      <c r="R14" s="27"/>
      <c r="S14" s="93">
        <v>1419</v>
      </c>
      <c r="T14" s="79">
        <f t="shared" si="3"/>
        <v>1419</v>
      </c>
      <c r="U14" s="115">
        <f t="shared" si="4"/>
        <v>0</v>
      </c>
    </row>
    <row r="15" spans="1:21" ht="51">
      <c r="A15" s="15" t="s">
        <v>229</v>
      </c>
      <c r="B15" s="16" t="s">
        <v>230</v>
      </c>
      <c r="C15" s="17"/>
      <c r="D15" s="18"/>
      <c r="E15" s="18"/>
      <c r="F15" s="18"/>
      <c r="G15" s="18"/>
      <c r="H15" s="18"/>
      <c r="I15" s="18"/>
      <c r="J15" s="74">
        <f>350-50-86.333</f>
        <v>213.667</v>
      </c>
      <c r="K15" s="75">
        <f t="shared" si="1"/>
        <v>213.667</v>
      </c>
      <c r="L15" s="27"/>
      <c r="M15" s="27"/>
      <c r="N15" s="27"/>
      <c r="O15" s="27"/>
      <c r="P15" s="27"/>
      <c r="Q15" s="27"/>
      <c r="R15" s="27"/>
      <c r="S15" s="93">
        <v>121.66771</v>
      </c>
      <c r="T15" s="79">
        <f t="shared" si="3"/>
        <v>121.66771</v>
      </c>
      <c r="U15" s="115">
        <f t="shared" si="4"/>
        <v>91.99929</v>
      </c>
    </row>
    <row r="16" spans="1:21" ht="63.75">
      <c r="A16" s="15" t="s">
        <v>231</v>
      </c>
      <c r="B16" s="16" t="s">
        <v>232</v>
      </c>
      <c r="C16" s="17"/>
      <c r="D16" s="18"/>
      <c r="E16" s="18">
        <f>166.56334-141.59803-0.38689</f>
        <v>24.578420000000015</v>
      </c>
      <c r="F16" s="18"/>
      <c r="G16" s="18"/>
      <c r="H16" s="18"/>
      <c r="I16" s="18"/>
      <c r="J16" s="18">
        <f>86.333+141.59803+0.38689</f>
        <v>228.31792</v>
      </c>
      <c r="K16" s="75">
        <f t="shared" si="1"/>
        <v>252.89634</v>
      </c>
      <c r="L16" s="27"/>
      <c r="M16" s="27"/>
      <c r="N16" s="76">
        <f>166.56334-141.59803-0.38689</f>
        <v>24.578420000000015</v>
      </c>
      <c r="O16" s="76"/>
      <c r="P16" s="76"/>
      <c r="Q16" s="76"/>
      <c r="R16" s="76"/>
      <c r="S16" s="76">
        <f>86.333+141.59803+0.38689</f>
        <v>228.31792</v>
      </c>
      <c r="T16" s="79">
        <f t="shared" si="3"/>
        <v>252.89634</v>
      </c>
      <c r="U16" s="115">
        <f t="shared" si="4"/>
        <v>0</v>
      </c>
    </row>
    <row r="17" spans="1:21" ht="63.75">
      <c r="A17" s="15" t="s">
        <v>233</v>
      </c>
      <c r="B17" s="19" t="s">
        <v>234</v>
      </c>
      <c r="C17" s="17"/>
      <c r="D17" s="18">
        <f>14100+22560+21824+76452</f>
        <v>134936</v>
      </c>
      <c r="E17" s="18">
        <f>900+1440+1393+4880</f>
        <v>8613</v>
      </c>
      <c r="F17" s="18"/>
      <c r="G17" s="18"/>
      <c r="H17" s="18"/>
      <c r="I17" s="18"/>
      <c r="J17" s="74">
        <v>0.38689</v>
      </c>
      <c r="K17" s="75">
        <f t="shared" si="1"/>
        <v>143549.38689</v>
      </c>
      <c r="L17" s="27"/>
      <c r="M17" s="77">
        <f>14100+18800.01723+22560+2020.25846+3504.49227+4538.37569+3023.98277+1837.9145+8871.78742+4237.69827+6448.34986+2136.5742</f>
        <v>92079.45067</v>
      </c>
      <c r="N17" s="77">
        <f>900+1199.98277+1440+128.95492+223.6949+566.29418+270.4961+117.31574+289.68861+193.01723+411.60397+136.37945+411.41126</f>
        <v>6288.839130000001</v>
      </c>
      <c r="O17" s="27"/>
      <c r="P17" s="27"/>
      <c r="Q17" s="27"/>
      <c r="R17" s="27"/>
      <c r="S17" s="93">
        <v>0.38689</v>
      </c>
      <c r="T17" s="79">
        <f t="shared" si="3"/>
        <v>98368.67669000001</v>
      </c>
      <c r="U17" s="115">
        <f t="shared" si="4"/>
        <v>45180.71019999999</v>
      </c>
    </row>
    <row r="18" spans="1:21" ht="51">
      <c r="A18" s="15" t="s">
        <v>235</v>
      </c>
      <c r="B18" s="12" t="s">
        <v>236</v>
      </c>
      <c r="C18" s="17"/>
      <c r="D18" s="18"/>
      <c r="E18" s="18"/>
      <c r="F18" s="18"/>
      <c r="G18" s="18"/>
      <c r="H18" s="18"/>
      <c r="I18" s="18"/>
      <c r="J18" s="74">
        <v>30</v>
      </c>
      <c r="K18" s="75">
        <f t="shared" si="1"/>
        <v>30</v>
      </c>
      <c r="L18" s="27"/>
      <c r="M18" s="27"/>
      <c r="N18" s="27"/>
      <c r="O18" s="27"/>
      <c r="P18" s="27"/>
      <c r="Q18" s="27"/>
      <c r="R18" s="27"/>
      <c r="S18" s="93">
        <f>1.25+2.91667</f>
        <v>4.16667</v>
      </c>
      <c r="T18" s="79">
        <f t="shared" si="3"/>
        <v>4.16667</v>
      </c>
      <c r="U18" s="115">
        <f t="shared" si="4"/>
        <v>25.83333</v>
      </c>
    </row>
    <row r="19" spans="1:21" ht="91.5" customHeight="1">
      <c r="A19" s="15" t="s">
        <v>237</v>
      </c>
      <c r="B19" s="20" t="s">
        <v>238</v>
      </c>
      <c r="C19" s="17"/>
      <c r="D19" s="18"/>
      <c r="E19" s="18"/>
      <c r="F19" s="18"/>
      <c r="G19" s="18"/>
      <c r="H19" s="18"/>
      <c r="I19" s="18"/>
      <c r="J19" s="74">
        <f>550-250</f>
        <v>300</v>
      </c>
      <c r="K19" s="75">
        <f t="shared" si="1"/>
        <v>300</v>
      </c>
      <c r="L19" s="27"/>
      <c r="M19" s="27"/>
      <c r="N19" s="27"/>
      <c r="O19" s="27"/>
      <c r="P19" s="27"/>
      <c r="Q19" s="27"/>
      <c r="R19" s="27"/>
      <c r="S19" s="93">
        <v>24</v>
      </c>
      <c r="T19" s="79">
        <f aca="true" t="shared" si="5" ref="T19:T34">SUM(L19:S19)</f>
        <v>24</v>
      </c>
      <c r="U19" s="115">
        <f aca="true" t="shared" si="6" ref="U19:U34">K19-T19</f>
        <v>276</v>
      </c>
    </row>
    <row r="20" spans="1:21" ht="54" customHeight="1">
      <c r="A20" s="15" t="s">
        <v>239</v>
      </c>
      <c r="B20" s="20" t="s">
        <v>240</v>
      </c>
      <c r="C20" s="21"/>
      <c r="D20" s="22"/>
      <c r="E20" s="22">
        <v>194.775</v>
      </c>
      <c r="F20" s="22"/>
      <c r="G20" s="22"/>
      <c r="H20" s="22"/>
      <c r="I20" s="22"/>
      <c r="J20" s="78">
        <v>2692</v>
      </c>
      <c r="K20" s="75">
        <f t="shared" si="1"/>
        <v>2886.775</v>
      </c>
      <c r="L20" s="27"/>
      <c r="M20" s="27"/>
      <c r="N20" s="77">
        <v>194.775</v>
      </c>
      <c r="O20" s="27"/>
      <c r="P20" s="27"/>
      <c r="Q20" s="27"/>
      <c r="R20" s="27"/>
      <c r="S20" s="93">
        <v>2692</v>
      </c>
      <c r="T20" s="79">
        <f t="shared" si="5"/>
        <v>2886.775</v>
      </c>
      <c r="U20" s="115">
        <f t="shared" si="6"/>
        <v>0</v>
      </c>
    </row>
    <row r="21" spans="1:21" ht="81" customHeight="1">
      <c r="A21" s="15" t="s">
        <v>241</v>
      </c>
      <c r="B21" s="20" t="s">
        <v>242</v>
      </c>
      <c r="C21" s="21"/>
      <c r="D21" s="22"/>
      <c r="E21" s="22"/>
      <c r="F21" s="22"/>
      <c r="G21" s="22"/>
      <c r="H21" s="18"/>
      <c r="I21" s="18"/>
      <c r="J21" s="74">
        <f>3597+1000+86.333+2.16</f>
        <v>4685.4929999999995</v>
      </c>
      <c r="K21" s="75">
        <f t="shared" si="1"/>
        <v>4685.4929999999995</v>
      </c>
      <c r="L21" s="27"/>
      <c r="M21" s="27"/>
      <c r="N21" s="27"/>
      <c r="O21" s="27"/>
      <c r="P21" s="27"/>
      <c r="Q21" s="27"/>
      <c r="R21" s="27"/>
      <c r="S21" s="93">
        <f>51.0608+713.5728+100+691.088+822.4624+1303.968+86.333+534.296+143+83.552+2.164</f>
        <v>4531.496999999999</v>
      </c>
      <c r="T21" s="79">
        <f t="shared" si="5"/>
        <v>4531.496999999999</v>
      </c>
      <c r="U21" s="115">
        <f t="shared" si="6"/>
        <v>153.9960000000001</v>
      </c>
    </row>
    <row r="22" spans="1:21" ht="79.5" customHeight="1">
      <c r="A22" s="23" t="s">
        <v>243</v>
      </c>
      <c r="B22" s="24" t="s">
        <v>244</v>
      </c>
      <c r="C22" s="25"/>
      <c r="D22" s="26"/>
      <c r="E22" s="26"/>
      <c r="F22" s="26"/>
      <c r="G22" s="26"/>
      <c r="H22" s="27"/>
      <c r="I22" s="27"/>
      <c r="J22" s="28">
        <f>352-2.16</f>
        <v>349.84</v>
      </c>
      <c r="K22" s="79">
        <f t="shared" si="1"/>
        <v>349.84</v>
      </c>
      <c r="L22" s="27"/>
      <c r="M22" s="27"/>
      <c r="N22" s="27"/>
      <c r="O22" s="27"/>
      <c r="P22" s="27"/>
      <c r="Q22" s="27"/>
      <c r="R22" s="27"/>
      <c r="S22" s="93">
        <f>12.96+96.876+240</f>
        <v>349.836</v>
      </c>
      <c r="T22" s="79">
        <f t="shared" si="5"/>
        <v>349.836</v>
      </c>
      <c r="U22" s="115">
        <f t="shared" si="6"/>
        <v>0.003999999999962256</v>
      </c>
    </row>
    <row r="23" spans="1:21" ht="42" customHeight="1">
      <c r="A23" s="15" t="s">
        <v>245</v>
      </c>
      <c r="B23" s="19" t="s">
        <v>246</v>
      </c>
      <c r="C23" s="25"/>
      <c r="D23" s="26"/>
      <c r="E23" s="26"/>
      <c r="F23" s="26"/>
      <c r="G23" s="26"/>
      <c r="H23" s="27"/>
      <c r="I23" s="27"/>
      <c r="J23" s="28">
        <v>100</v>
      </c>
      <c r="K23" s="75">
        <f t="shared" si="1"/>
        <v>100</v>
      </c>
      <c r="L23" s="26"/>
      <c r="M23" s="27"/>
      <c r="N23" s="27"/>
      <c r="O23" s="27"/>
      <c r="P23" s="27"/>
      <c r="Q23" s="27"/>
      <c r="R23" s="27"/>
      <c r="S23" s="93">
        <v>100</v>
      </c>
      <c r="T23" s="79">
        <f t="shared" si="5"/>
        <v>100</v>
      </c>
      <c r="U23" s="115">
        <f t="shared" si="6"/>
        <v>0</v>
      </c>
    </row>
    <row r="24" spans="1:21" ht="42.75" customHeight="1">
      <c r="A24" s="15" t="s">
        <v>247</v>
      </c>
      <c r="B24" s="19" t="s">
        <v>248</v>
      </c>
      <c r="C24" s="25"/>
      <c r="D24" s="26"/>
      <c r="E24" s="28">
        <v>38.62</v>
      </c>
      <c r="F24" s="26"/>
      <c r="G24" s="26"/>
      <c r="H24" s="27"/>
      <c r="I24" s="27"/>
      <c r="J24" s="28"/>
      <c r="K24" s="75">
        <f t="shared" si="1"/>
        <v>38.62</v>
      </c>
      <c r="L24" s="26"/>
      <c r="M24" s="27"/>
      <c r="N24" s="27"/>
      <c r="O24" s="27"/>
      <c r="P24" s="27"/>
      <c r="Q24" s="27"/>
      <c r="R24" s="27"/>
      <c r="S24" s="93"/>
      <c r="T24" s="79">
        <f t="shared" si="5"/>
        <v>0</v>
      </c>
      <c r="U24" s="115">
        <f t="shared" si="6"/>
        <v>38.62</v>
      </c>
    </row>
    <row r="25" spans="1:21" ht="103.5" customHeight="1">
      <c r="A25" s="15" t="s">
        <v>249</v>
      </c>
      <c r="B25" s="20" t="s">
        <v>250</v>
      </c>
      <c r="C25" s="21"/>
      <c r="D25" s="18"/>
      <c r="E25" s="18">
        <v>157.17448</v>
      </c>
      <c r="F25" s="18"/>
      <c r="G25" s="22"/>
      <c r="H25" s="18"/>
      <c r="I25" s="18"/>
      <c r="J25" s="80"/>
      <c r="K25" s="75">
        <f t="shared" si="1"/>
        <v>157.17448</v>
      </c>
      <c r="L25" s="26"/>
      <c r="M25" s="27"/>
      <c r="N25" s="77">
        <v>129.427</v>
      </c>
      <c r="O25" s="27"/>
      <c r="P25" s="27"/>
      <c r="Q25" s="27"/>
      <c r="R25" s="27"/>
      <c r="S25" s="93"/>
      <c r="T25" s="79">
        <f t="shared" si="5"/>
        <v>129.427</v>
      </c>
      <c r="U25" s="115">
        <f t="shared" si="6"/>
        <v>27.747479999999996</v>
      </c>
    </row>
    <row r="26" spans="1:21" ht="21" customHeight="1">
      <c r="A26" s="4" t="s">
        <v>251</v>
      </c>
      <c r="B26" s="5" t="s">
        <v>252</v>
      </c>
      <c r="C26" s="29">
        <f aca="true" t="shared" si="7" ref="C26:J26">C27+C28</f>
        <v>0</v>
      </c>
      <c r="D26" s="29">
        <f t="shared" si="7"/>
        <v>21215</v>
      </c>
      <c r="E26" s="29">
        <f t="shared" si="7"/>
        <v>1663.365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70">
        <f t="shared" si="1"/>
        <v>22878.365</v>
      </c>
      <c r="L26" s="29">
        <f aca="true" t="shared" si="8" ref="L26:S26">L27+L28</f>
        <v>0</v>
      </c>
      <c r="M26" s="29">
        <f t="shared" si="8"/>
        <v>9091.962</v>
      </c>
      <c r="N26" s="29">
        <f t="shared" si="8"/>
        <v>0</v>
      </c>
      <c r="O26" s="29">
        <f t="shared" si="8"/>
        <v>0</v>
      </c>
      <c r="P26" s="29">
        <f t="shared" si="8"/>
        <v>0</v>
      </c>
      <c r="Q26" s="29">
        <f t="shared" si="8"/>
        <v>0</v>
      </c>
      <c r="R26" s="29">
        <f t="shared" si="8"/>
        <v>0</v>
      </c>
      <c r="S26" s="29">
        <f t="shared" si="8"/>
        <v>0</v>
      </c>
      <c r="T26" s="70">
        <f t="shared" si="5"/>
        <v>9091.962</v>
      </c>
      <c r="U26" s="113">
        <f t="shared" si="6"/>
        <v>13786.403000000002</v>
      </c>
    </row>
    <row r="27" spans="1:21" ht="63.75">
      <c r="A27" s="30" t="s">
        <v>253</v>
      </c>
      <c r="B27" s="31" t="s">
        <v>254</v>
      </c>
      <c r="C27" s="32"/>
      <c r="D27" s="33">
        <v>21215</v>
      </c>
      <c r="E27" s="34"/>
      <c r="F27" s="34"/>
      <c r="G27" s="34"/>
      <c r="H27" s="34"/>
      <c r="I27" s="34"/>
      <c r="J27" s="81"/>
      <c r="K27" s="70">
        <f t="shared" si="1"/>
        <v>21215</v>
      </c>
      <c r="L27" s="82"/>
      <c r="M27" s="83">
        <f>1515.327+1515.327+1515.327+1515.327+1515.327+1515.327</f>
        <v>9091.962</v>
      </c>
      <c r="N27" s="45"/>
      <c r="O27" s="45"/>
      <c r="P27" s="45"/>
      <c r="Q27" s="45"/>
      <c r="R27" s="45"/>
      <c r="S27" s="116"/>
      <c r="T27" s="70">
        <f t="shared" si="5"/>
        <v>9091.962</v>
      </c>
      <c r="U27" s="117">
        <f t="shared" si="6"/>
        <v>12123.038</v>
      </c>
    </row>
    <row r="28" spans="1:21" ht="72" customHeight="1">
      <c r="A28" s="30" t="s">
        <v>255</v>
      </c>
      <c r="B28" s="31" t="s">
        <v>256</v>
      </c>
      <c r="C28" s="32"/>
      <c r="D28" s="33"/>
      <c r="E28" s="34">
        <v>1663.365</v>
      </c>
      <c r="F28" s="34"/>
      <c r="G28" s="34"/>
      <c r="H28" s="34"/>
      <c r="I28" s="34"/>
      <c r="J28" s="81"/>
      <c r="K28" s="70">
        <f t="shared" si="1"/>
        <v>1663.365</v>
      </c>
      <c r="L28" s="82"/>
      <c r="M28" s="83"/>
      <c r="N28" s="45"/>
      <c r="O28" s="45"/>
      <c r="P28" s="45"/>
      <c r="Q28" s="45"/>
      <c r="R28" s="45"/>
      <c r="S28" s="116"/>
      <c r="T28" s="70">
        <f t="shared" si="5"/>
        <v>0</v>
      </c>
      <c r="U28" s="117">
        <f t="shared" si="6"/>
        <v>1663.365</v>
      </c>
    </row>
    <row r="29" spans="1:21" ht="15.75" customHeight="1">
      <c r="A29" s="4" t="s">
        <v>257</v>
      </c>
      <c r="B29" s="5" t="s">
        <v>258</v>
      </c>
      <c r="C29" s="6">
        <f aca="true" t="shared" si="9" ref="C29:J29">C30+C42+C37</f>
        <v>47128.3</v>
      </c>
      <c r="D29" s="6">
        <f t="shared" si="9"/>
        <v>188570.7</v>
      </c>
      <c r="E29" s="6">
        <f t="shared" si="9"/>
        <v>26574.438000000002</v>
      </c>
      <c r="F29" s="6">
        <f t="shared" si="9"/>
        <v>0</v>
      </c>
      <c r="G29" s="6">
        <f t="shared" si="9"/>
        <v>0</v>
      </c>
      <c r="H29" s="6">
        <f t="shared" si="9"/>
        <v>0</v>
      </c>
      <c r="I29" s="6">
        <f t="shared" si="9"/>
        <v>0</v>
      </c>
      <c r="J29" s="6">
        <f t="shared" si="9"/>
        <v>0</v>
      </c>
      <c r="K29" s="70">
        <f t="shared" si="1"/>
        <v>262273.438</v>
      </c>
      <c r="L29" s="84">
        <f aca="true" t="shared" si="10" ref="L29:S29">L30+L42+L37</f>
        <v>6569.3613</v>
      </c>
      <c r="M29" s="6">
        <f t="shared" si="10"/>
        <v>102399.70134</v>
      </c>
      <c r="N29" s="6">
        <f t="shared" si="10"/>
        <v>11523.476820000002</v>
      </c>
      <c r="O29" s="6">
        <f t="shared" si="10"/>
        <v>0</v>
      </c>
      <c r="P29" s="6">
        <f t="shared" si="10"/>
        <v>0</v>
      </c>
      <c r="Q29" s="6">
        <f t="shared" si="10"/>
        <v>0</v>
      </c>
      <c r="R29" s="6">
        <f t="shared" si="10"/>
        <v>0</v>
      </c>
      <c r="S29" s="6">
        <f t="shared" si="10"/>
        <v>0</v>
      </c>
      <c r="T29" s="70">
        <f t="shared" si="5"/>
        <v>120492.53946</v>
      </c>
      <c r="U29" s="113">
        <f t="shared" si="6"/>
        <v>141780.89854000002</v>
      </c>
    </row>
    <row r="30" spans="1:21" ht="16.5" customHeight="1">
      <c r="A30" s="4" t="s">
        <v>259</v>
      </c>
      <c r="B30" s="5" t="s">
        <v>260</v>
      </c>
      <c r="C30" s="6">
        <f aca="true" t="shared" si="11" ref="C30:J30">C31+C32+C33+C35+C34+C36</f>
        <v>47128.3</v>
      </c>
      <c r="D30" s="6">
        <f t="shared" si="11"/>
        <v>103224.7</v>
      </c>
      <c r="E30" s="6">
        <f t="shared" si="11"/>
        <v>15688</v>
      </c>
      <c r="F30" s="6">
        <f t="shared" si="11"/>
        <v>0</v>
      </c>
      <c r="G30" s="6">
        <f t="shared" si="11"/>
        <v>0</v>
      </c>
      <c r="H30" s="6">
        <f t="shared" si="11"/>
        <v>0</v>
      </c>
      <c r="I30" s="6">
        <f t="shared" si="11"/>
        <v>0</v>
      </c>
      <c r="J30" s="6">
        <f t="shared" si="11"/>
        <v>0</v>
      </c>
      <c r="K30" s="70">
        <f t="shared" si="1"/>
        <v>166041</v>
      </c>
      <c r="L30" s="6">
        <f aca="true" t="shared" si="12" ref="L30:S30">L31+L32+L33+L35+L34+L36</f>
        <v>6569.3613</v>
      </c>
      <c r="M30" s="6">
        <f t="shared" si="12"/>
        <v>35507.72939</v>
      </c>
      <c r="N30" s="6">
        <f t="shared" si="12"/>
        <v>4038.3199500000005</v>
      </c>
      <c r="O30" s="6">
        <f t="shared" si="12"/>
        <v>0</v>
      </c>
      <c r="P30" s="6">
        <f t="shared" si="12"/>
        <v>0</v>
      </c>
      <c r="Q30" s="6">
        <f t="shared" si="12"/>
        <v>0</v>
      </c>
      <c r="R30" s="6">
        <f t="shared" si="12"/>
        <v>0</v>
      </c>
      <c r="S30" s="6">
        <f t="shared" si="12"/>
        <v>0</v>
      </c>
      <c r="T30" s="118">
        <f t="shared" si="5"/>
        <v>46115.410639999995</v>
      </c>
      <c r="U30" s="117">
        <f t="shared" si="6"/>
        <v>119925.58936000001</v>
      </c>
    </row>
    <row r="31" spans="1:21" ht="54.75" customHeight="1">
      <c r="A31" s="30" t="s">
        <v>261</v>
      </c>
      <c r="B31" s="31" t="s">
        <v>262</v>
      </c>
      <c r="C31" s="35"/>
      <c r="D31" s="33">
        <f>15000+10842.9</f>
        <v>25842.9</v>
      </c>
      <c r="E31" s="33">
        <f>1666+692.1</f>
        <v>2358.1</v>
      </c>
      <c r="F31" s="34"/>
      <c r="G31" s="34"/>
      <c r="H31" s="34"/>
      <c r="I31" s="85"/>
      <c r="J31" s="86"/>
      <c r="K31" s="87">
        <f t="shared" si="1"/>
        <v>28201</v>
      </c>
      <c r="L31" s="33"/>
      <c r="M31" s="88">
        <f>2500+5249.22255+5249.91+1815.4403+5925.1574+3719.35667</f>
        <v>24459.08692</v>
      </c>
      <c r="N31" s="89">
        <f>277.66667+583.01365+583.09+201.6349+378.20154+237.40574</f>
        <v>2261.0125000000003</v>
      </c>
      <c r="O31" s="34"/>
      <c r="P31" s="34"/>
      <c r="Q31" s="34"/>
      <c r="R31" s="85"/>
      <c r="S31" s="119"/>
      <c r="T31" s="71">
        <f t="shared" si="5"/>
        <v>26720.099420000002</v>
      </c>
      <c r="U31" s="120">
        <f t="shared" si="6"/>
        <v>1480.9005799999977</v>
      </c>
    </row>
    <row r="32" spans="1:21" ht="51">
      <c r="A32" s="36" t="s">
        <v>263</v>
      </c>
      <c r="B32" s="37" t="s">
        <v>264</v>
      </c>
      <c r="C32" s="9"/>
      <c r="D32" s="10">
        <f>11250+10675.4</f>
        <v>21925.4</v>
      </c>
      <c r="E32" s="10">
        <f>1250+681.4</f>
        <v>1931.4</v>
      </c>
      <c r="F32" s="38"/>
      <c r="G32" s="38"/>
      <c r="H32" s="38"/>
      <c r="I32" s="90"/>
      <c r="J32" s="91"/>
      <c r="K32" s="87">
        <f t="shared" si="1"/>
        <v>23856.800000000003</v>
      </c>
      <c r="L32" s="27"/>
      <c r="M32" s="92">
        <f>1273.04536+2498.34525+1718.77365+3812.19224</f>
        <v>9302.3565</v>
      </c>
      <c r="N32" s="93">
        <f>141.44949+277.59392+190.97485+243.32838</f>
        <v>853.3466400000001</v>
      </c>
      <c r="O32" s="26"/>
      <c r="P32" s="26"/>
      <c r="Q32" s="26"/>
      <c r="R32" s="103"/>
      <c r="S32" s="121"/>
      <c r="T32" s="79">
        <f t="shared" si="5"/>
        <v>10155.70314</v>
      </c>
      <c r="U32" s="122">
        <f t="shared" si="6"/>
        <v>13701.096860000003</v>
      </c>
    </row>
    <row r="33" spans="1:21" ht="54" customHeight="1">
      <c r="A33" s="36" t="s">
        <v>265</v>
      </c>
      <c r="B33" s="39" t="s">
        <v>266</v>
      </c>
      <c r="C33" s="28">
        <f>47128.3</f>
        <v>47128.3</v>
      </c>
      <c r="D33" s="28">
        <f>12527.8</f>
        <v>12527.8</v>
      </c>
      <c r="E33" s="28">
        <f>6628.5</f>
        <v>6628.5</v>
      </c>
      <c r="F33" s="38"/>
      <c r="G33" s="38"/>
      <c r="H33" s="38"/>
      <c r="I33" s="90"/>
      <c r="J33" s="91"/>
      <c r="K33" s="87">
        <f t="shared" si="1"/>
        <v>66284.6</v>
      </c>
      <c r="L33" s="77">
        <f>136.97239+2368.3981+4063.99081</f>
        <v>6569.3613</v>
      </c>
      <c r="M33" s="94">
        <f>36.41038+629.5742+1080.30139</f>
        <v>1746.2859700000001</v>
      </c>
      <c r="N33" s="77">
        <f>19.26476+333.10803+571.58802</f>
        <v>923.96081</v>
      </c>
      <c r="O33" s="26"/>
      <c r="P33" s="26"/>
      <c r="Q33" s="26"/>
      <c r="R33" s="103"/>
      <c r="S33" s="121"/>
      <c r="T33" s="79">
        <f t="shared" si="5"/>
        <v>9239.60808</v>
      </c>
      <c r="U33" s="122">
        <f t="shared" si="6"/>
        <v>57044.99192000001</v>
      </c>
    </row>
    <row r="34" spans="1:21" ht="69" customHeight="1">
      <c r="A34" s="36" t="s">
        <v>267</v>
      </c>
      <c r="B34" s="39" t="s">
        <v>268</v>
      </c>
      <c r="C34" s="28"/>
      <c r="D34" s="28">
        <v>3233.2</v>
      </c>
      <c r="E34" s="28">
        <v>359.4</v>
      </c>
      <c r="F34" s="38"/>
      <c r="G34" s="38"/>
      <c r="H34" s="38"/>
      <c r="I34" s="90"/>
      <c r="J34" s="91"/>
      <c r="K34" s="87">
        <f t="shared" si="1"/>
        <v>3592.6</v>
      </c>
      <c r="L34" s="27"/>
      <c r="M34" s="92"/>
      <c r="N34" s="93"/>
      <c r="O34" s="26"/>
      <c r="P34" s="26"/>
      <c r="Q34" s="26"/>
      <c r="R34" s="103"/>
      <c r="S34" s="121"/>
      <c r="T34" s="79">
        <f t="shared" si="5"/>
        <v>0</v>
      </c>
      <c r="U34" s="122">
        <f t="shared" si="6"/>
        <v>3592.6</v>
      </c>
    </row>
    <row r="35" spans="1:21" ht="51">
      <c r="A35" s="36" t="s">
        <v>269</v>
      </c>
      <c r="B35" s="39" t="s">
        <v>270</v>
      </c>
      <c r="C35" s="9"/>
      <c r="D35" s="10">
        <v>36000</v>
      </c>
      <c r="E35" s="10">
        <v>4000</v>
      </c>
      <c r="F35" s="38"/>
      <c r="G35" s="38"/>
      <c r="H35" s="38"/>
      <c r="I35" s="90"/>
      <c r="J35" s="91"/>
      <c r="K35" s="87">
        <f t="shared" si="1"/>
        <v>40000</v>
      </c>
      <c r="L35" s="27"/>
      <c r="M35" s="92"/>
      <c r="N35" s="93"/>
      <c r="O35" s="26"/>
      <c r="P35" s="26"/>
      <c r="Q35" s="26"/>
      <c r="R35" s="103"/>
      <c r="S35" s="123"/>
      <c r="T35" s="75">
        <f aca="true" t="shared" si="13" ref="T35:T53">SUM(L35:S35)</f>
        <v>0</v>
      </c>
      <c r="U35" s="124">
        <f aca="true" t="shared" si="14" ref="U35:U53">K35-T35</f>
        <v>40000</v>
      </c>
    </row>
    <row r="36" spans="1:21" ht="63.75">
      <c r="A36" s="36" t="s">
        <v>271</v>
      </c>
      <c r="B36" s="40" t="s">
        <v>272</v>
      </c>
      <c r="C36" s="9"/>
      <c r="D36" s="10">
        <v>3695.4</v>
      </c>
      <c r="E36" s="10">
        <v>410.6</v>
      </c>
      <c r="F36" s="38"/>
      <c r="G36" s="38"/>
      <c r="H36" s="38"/>
      <c r="I36" s="90"/>
      <c r="J36" s="91"/>
      <c r="K36" s="87">
        <f t="shared" si="1"/>
        <v>4106</v>
      </c>
      <c r="L36" s="27"/>
      <c r="M36" s="92"/>
      <c r="N36" s="93"/>
      <c r="O36" s="26"/>
      <c r="P36" s="26"/>
      <c r="Q36" s="26"/>
      <c r="R36" s="103"/>
      <c r="S36" s="123"/>
      <c r="T36" s="75">
        <f t="shared" si="13"/>
        <v>0</v>
      </c>
      <c r="U36" s="124">
        <f t="shared" si="14"/>
        <v>4106</v>
      </c>
    </row>
    <row r="37" spans="1:21" ht="21.75" customHeight="1">
      <c r="A37" s="4" t="s">
        <v>273</v>
      </c>
      <c r="B37" s="5" t="s">
        <v>274</v>
      </c>
      <c r="C37" s="6">
        <f aca="true" t="shared" si="15" ref="C37:S37">C38+C40+C39+C41</f>
        <v>0</v>
      </c>
      <c r="D37" s="6">
        <f t="shared" si="15"/>
        <v>62443.6</v>
      </c>
      <c r="E37" s="6">
        <f t="shared" si="15"/>
        <v>8407.4</v>
      </c>
      <c r="F37" s="6">
        <f t="shared" si="15"/>
        <v>0</v>
      </c>
      <c r="G37" s="6">
        <f t="shared" si="15"/>
        <v>0</v>
      </c>
      <c r="H37" s="6">
        <f t="shared" si="15"/>
        <v>0</v>
      </c>
      <c r="I37" s="6">
        <f t="shared" si="15"/>
        <v>0</v>
      </c>
      <c r="J37" s="6">
        <f t="shared" si="15"/>
        <v>0</v>
      </c>
      <c r="K37" s="70">
        <f t="shared" si="15"/>
        <v>70851</v>
      </c>
      <c r="L37" s="6">
        <f t="shared" si="15"/>
        <v>0</v>
      </c>
      <c r="M37" s="6">
        <f t="shared" si="15"/>
        <v>58013.00654</v>
      </c>
      <c r="N37" s="6">
        <f t="shared" si="15"/>
        <v>6467.164770000001</v>
      </c>
      <c r="O37" s="6">
        <f t="shared" si="15"/>
        <v>0</v>
      </c>
      <c r="P37" s="6">
        <f t="shared" si="15"/>
        <v>0</v>
      </c>
      <c r="Q37" s="6">
        <f t="shared" si="15"/>
        <v>0</v>
      </c>
      <c r="R37" s="6">
        <f t="shared" si="15"/>
        <v>0</v>
      </c>
      <c r="S37" s="6">
        <f t="shared" si="15"/>
        <v>0</v>
      </c>
      <c r="T37" s="70">
        <f t="shared" si="13"/>
        <v>64480.171310000005</v>
      </c>
      <c r="U37" s="113">
        <f t="shared" si="14"/>
        <v>6370.828689999995</v>
      </c>
    </row>
    <row r="38" spans="1:21" ht="72" customHeight="1">
      <c r="A38" s="41" t="s">
        <v>275</v>
      </c>
      <c r="B38" s="42" t="s">
        <v>276</v>
      </c>
      <c r="C38" s="43"/>
      <c r="D38" s="44">
        <f>37750+19623.6</f>
        <v>57373.6</v>
      </c>
      <c r="E38" s="44">
        <f>4194+2180.4</f>
        <v>6374.4</v>
      </c>
      <c r="F38" s="45"/>
      <c r="G38" s="45"/>
      <c r="H38" s="45"/>
      <c r="I38" s="95"/>
      <c r="J38" s="96"/>
      <c r="K38" s="97">
        <f>SUM(C38:J38)</f>
        <v>63748</v>
      </c>
      <c r="L38" s="44"/>
      <c r="M38" s="98">
        <f>15000+20000+10000+2482.48587+6771.79852+1758.75185</f>
        <v>56013.03624</v>
      </c>
      <c r="N38" s="99">
        <f>1666.49007+2221.98675+1111.03365+275.81253+752.3696+195.40325</f>
        <v>6223.095850000001</v>
      </c>
      <c r="O38" s="45"/>
      <c r="P38" s="45"/>
      <c r="Q38" s="45"/>
      <c r="R38" s="95"/>
      <c r="S38" s="125"/>
      <c r="T38" s="97">
        <f t="shared" si="13"/>
        <v>62236.13209</v>
      </c>
      <c r="U38" s="126">
        <f t="shared" si="14"/>
        <v>1511.8679100000008</v>
      </c>
    </row>
    <row r="39" spans="1:21" ht="63.75">
      <c r="A39" s="46" t="s">
        <v>277</v>
      </c>
      <c r="B39" s="47" t="s">
        <v>0</v>
      </c>
      <c r="C39" s="17"/>
      <c r="D39" s="18"/>
      <c r="E39" s="18">
        <v>1603</v>
      </c>
      <c r="F39" s="22"/>
      <c r="G39" s="22"/>
      <c r="H39" s="22"/>
      <c r="I39" s="100"/>
      <c r="J39" s="101"/>
      <c r="K39" s="75">
        <f>SUM(C39:J39)</f>
        <v>1603</v>
      </c>
      <c r="L39" s="18"/>
      <c r="M39" s="102"/>
      <c r="N39" s="102">
        <v>21.85</v>
      </c>
      <c r="O39" s="22"/>
      <c r="P39" s="22"/>
      <c r="Q39" s="22"/>
      <c r="R39" s="100"/>
      <c r="S39" s="101"/>
      <c r="T39" s="75">
        <f t="shared" si="13"/>
        <v>21.85</v>
      </c>
      <c r="U39" s="124">
        <f t="shared" si="14"/>
        <v>1581.15</v>
      </c>
    </row>
    <row r="40" spans="1:21" ht="76.5">
      <c r="A40" s="46" t="s">
        <v>1</v>
      </c>
      <c r="B40" s="47" t="s">
        <v>2</v>
      </c>
      <c r="C40" s="17"/>
      <c r="D40" s="18">
        <v>2250</v>
      </c>
      <c r="E40" s="18">
        <v>250</v>
      </c>
      <c r="F40" s="22"/>
      <c r="G40" s="22"/>
      <c r="H40" s="22"/>
      <c r="I40" s="100"/>
      <c r="J40" s="101"/>
      <c r="K40" s="75">
        <f>SUM(C40:J40)</f>
        <v>2500</v>
      </c>
      <c r="L40" s="18"/>
      <c r="M40" s="102">
        <v>1999.9703</v>
      </c>
      <c r="N40" s="102">
        <v>222.21892</v>
      </c>
      <c r="O40" s="22"/>
      <c r="P40" s="22"/>
      <c r="Q40" s="22"/>
      <c r="R40" s="100"/>
      <c r="S40" s="101"/>
      <c r="T40" s="75">
        <f t="shared" si="13"/>
        <v>2222.1892199999998</v>
      </c>
      <c r="U40" s="124">
        <f t="shared" si="14"/>
        <v>277.81078000000025</v>
      </c>
    </row>
    <row r="41" spans="1:21" ht="51">
      <c r="A41" s="46" t="s">
        <v>3</v>
      </c>
      <c r="B41" s="48" t="s">
        <v>4</v>
      </c>
      <c r="C41" s="49"/>
      <c r="D41" s="27">
        <v>2820</v>
      </c>
      <c r="E41" s="27">
        <v>180</v>
      </c>
      <c r="F41" s="26"/>
      <c r="G41" s="26"/>
      <c r="H41" s="26"/>
      <c r="I41" s="103"/>
      <c r="J41" s="104"/>
      <c r="K41" s="79">
        <f>SUM(C41:J41)</f>
        <v>3000</v>
      </c>
      <c r="L41" s="27"/>
      <c r="M41" s="92"/>
      <c r="N41" s="93"/>
      <c r="O41" s="26"/>
      <c r="P41" s="26"/>
      <c r="Q41" s="26"/>
      <c r="R41" s="103"/>
      <c r="S41" s="121"/>
      <c r="T41" s="75">
        <f t="shared" si="13"/>
        <v>0</v>
      </c>
      <c r="U41" s="124">
        <f t="shared" si="14"/>
        <v>3000</v>
      </c>
    </row>
    <row r="42" spans="1:21" ht="25.5">
      <c r="A42" s="4" t="s">
        <v>5</v>
      </c>
      <c r="B42" s="5" t="s">
        <v>6</v>
      </c>
      <c r="C42" s="6">
        <f aca="true" t="shared" si="16" ref="C42:S42">C43+C44+C45</f>
        <v>0</v>
      </c>
      <c r="D42" s="6">
        <f t="shared" si="16"/>
        <v>22902.4</v>
      </c>
      <c r="E42" s="6">
        <f t="shared" si="16"/>
        <v>2479.038</v>
      </c>
      <c r="F42" s="6">
        <f t="shared" si="16"/>
        <v>0</v>
      </c>
      <c r="G42" s="6">
        <f t="shared" si="16"/>
        <v>0</v>
      </c>
      <c r="H42" s="6">
        <f t="shared" si="16"/>
        <v>0</v>
      </c>
      <c r="I42" s="6">
        <f t="shared" si="16"/>
        <v>0</v>
      </c>
      <c r="J42" s="6">
        <f t="shared" si="16"/>
        <v>0</v>
      </c>
      <c r="K42" s="70">
        <f t="shared" si="16"/>
        <v>25381.438000000002</v>
      </c>
      <c r="L42" s="6">
        <f t="shared" si="16"/>
        <v>0</v>
      </c>
      <c r="M42" s="6">
        <f t="shared" si="16"/>
        <v>8878.96541</v>
      </c>
      <c r="N42" s="6">
        <f t="shared" si="16"/>
        <v>1017.9921</v>
      </c>
      <c r="O42" s="6">
        <f t="shared" si="16"/>
        <v>0</v>
      </c>
      <c r="P42" s="6">
        <f t="shared" si="16"/>
        <v>0</v>
      </c>
      <c r="Q42" s="6">
        <f t="shared" si="16"/>
        <v>0</v>
      </c>
      <c r="R42" s="6">
        <f t="shared" si="16"/>
        <v>0</v>
      </c>
      <c r="S42" s="6">
        <f t="shared" si="16"/>
        <v>0</v>
      </c>
      <c r="T42" s="70">
        <f t="shared" si="13"/>
        <v>9896.95751</v>
      </c>
      <c r="U42" s="113">
        <f t="shared" si="14"/>
        <v>15484.480490000002</v>
      </c>
    </row>
    <row r="43" spans="1:21" ht="63.75">
      <c r="A43" s="41" t="s">
        <v>7</v>
      </c>
      <c r="B43" s="42" t="s">
        <v>8</v>
      </c>
      <c r="C43" s="43"/>
      <c r="D43" s="44">
        <v>5000</v>
      </c>
      <c r="E43" s="44">
        <v>556</v>
      </c>
      <c r="F43" s="45"/>
      <c r="G43" s="45"/>
      <c r="H43" s="45"/>
      <c r="I43" s="95"/>
      <c r="J43" s="96"/>
      <c r="K43" s="97">
        <f aca="true" t="shared" si="17" ref="K43:K53">SUM(C43:J43)</f>
        <v>5556</v>
      </c>
      <c r="L43" s="44"/>
      <c r="M43" s="98">
        <f>1999.92981+722.41631+2075.04774</f>
        <v>4797.39386</v>
      </c>
      <c r="N43" s="99">
        <f>222.39219+80.33269+230.74531</f>
        <v>533.47019</v>
      </c>
      <c r="O43" s="45"/>
      <c r="P43" s="45"/>
      <c r="Q43" s="45"/>
      <c r="R43" s="95"/>
      <c r="S43" s="125"/>
      <c r="T43" s="97">
        <f t="shared" si="13"/>
        <v>5330.86405</v>
      </c>
      <c r="U43" s="126">
        <f t="shared" si="14"/>
        <v>225.13594999999987</v>
      </c>
    </row>
    <row r="44" spans="1:21" ht="63.75">
      <c r="A44" s="50" t="s">
        <v>9</v>
      </c>
      <c r="B44" s="51" t="s">
        <v>10</v>
      </c>
      <c r="C44" s="52"/>
      <c r="D44" s="53">
        <v>17902.4</v>
      </c>
      <c r="E44" s="53">
        <v>1142.7</v>
      </c>
      <c r="F44" s="54"/>
      <c r="G44" s="54"/>
      <c r="H44" s="54"/>
      <c r="I44" s="105"/>
      <c r="J44" s="106"/>
      <c r="K44" s="75">
        <f t="shared" si="17"/>
        <v>19045.100000000002</v>
      </c>
      <c r="L44" s="53"/>
      <c r="M44" s="107">
        <v>4081.57155</v>
      </c>
      <c r="N44" s="108">
        <v>260.52439</v>
      </c>
      <c r="O44" s="54"/>
      <c r="P44" s="54"/>
      <c r="Q44" s="54"/>
      <c r="R44" s="105"/>
      <c r="S44" s="123"/>
      <c r="T44" s="75">
        <f t="shared" si="13"/>
        <v>4342.09594</v>
      </c>
      <c r="U44" s="124">
        <f t="shared" si="14"/>
        <v>14703.004060000003</v>
      </c>
    </row>
    <row r="45" spans="1:21" ht="63.75">
      <c r="A45" s="55" t="s">
        <v>11</v>
      </c>
      <c r="B45" s="48" t="s">
        <v>12</v>
      </c>
      <c r="C45" s="25"/>
      <c r="D45" s="27"/>
      <c r="E45" s="27">
        <f>1224.12042-443.78242</f>
        <v>780.338</v>
      </c>
      <c r="F45" s="26"/>
      <c r="G45" s="26"/>
      <c r="H45" s="26"/>
      <c r="I45" s="103"/>
      <c r="J45" s="104"/>
      <c r="K45" s="79">
        <f t="shared" si="17"/>
        <v>780.338</v>
      </c>
      <c r="L45" s="27"/>
      <c r="M45" s="92"/>
      <c r="N45" s="93">
        <f>98.49162+125.5059</f>
        <v>223.99752</v>
      </c>
      <c r="O45" s="26"/>
      <c r="P45" s="26"/>
      <c r="Q45" s="26"/>
      <c r="R45" s="103"/>
      <c r="S45" s="123"/>
      <c r="T45" s="75">
        <f t="shared" si="13"/>
        <v>223.99752</v>
      </c>
      <c r="U45" s="124">
        <f t="shared" si="14"/>
        <v>556.34048</v>
      </c>
    </row>
    <row r="46" spans="1:21" ht="24.75" customHeight="1">
      <c r="A46" s="4" t="s">
        <v>13</v>
      </c>
      <c r="B46" s="5" t="s">
        <v>14</v>
      </c>
      <c r="C46" s="6">
        <f aca="true" t="shared" si="18" ref="C46:J46">SUM(C47:C93)</f>
        <v>0</v>
      </c>
      <c r="D46" s="6">
        <f t="shared" si="18"/>
        <v>0</v>
      </c>
      <c r="E46" s="6">
        <f t="shared" si="18"/>
        <v>7859.375199999999</v>
      </c>
      <c r="F46" s="6">
        <f t="shared" si="18"/>
        <v>0</v>
      </c>
      <c r="G46" s="6">
        <f t="shared" si="18"/>
        <v>0</v>
      </c>
      <c r="H46" s="6">
        <f t="shared" si="18"/>
        <v>0</v>
      </c>
      <c r="I46" s="6">
        <f t="shared" si="18"/>
        <v>0</v>
      </c>
      <c r="J46" s="6">
        <f t="shared" si="18"/>
        <v>0</v>
      </c>
      <c r="K46" s="70">
        <f t="shared" si="17"/>
        <v>7859.375199999999</v>
      </c>
      <c r="L46" s="6">
        <f aca="true" t="shared" si="19" ref="L46:S46">SUM(L47:L93)</f>
        <v>0</v>
      </c>
      <c r="M46" s="6">
        <f t="shared" si="19"/>
        <v>0</v>
      </c>
      <c r="N46" s="6">
        <f t="shared" si="19"/>
        <v>3959.6051999999986</v>
      </c>
      <c r="O46" s="6">
        <f t="shared" si="19"/>
        <v>0</v>
      </c>
      <c r="P46" s="6">
        <f t="shared" si="19"/>
        <v>0</v>
      </c>
      <c r="Q46" s="6">
        <f t="shared" si="19"/>
        <v>0</v>
      </c>
      <c r="R46" s="6">
        <f t="shared" si="19"/>
        <v>0</v>
      </c>
      <c r="S46" s="6">
        <f t="shared" si="19"/>
        <v>0</v>
      </c>
      <c r="T46" s="70">
        <f t="shared" si="13"/>
        <v>3959.6051999999986</v>
      </c>
      <c r="U46" s="113">
        <f t="shared" si="14"/>
        <v>3899.77</v>
      </c>
    </row>
    <row r="47" spans="1:21" ht="51">
      <c r="A47" s="55" t="s">
        <v>15</v>
      </c>
      <c r="B47" s="19" t="s">
        <v>16</v>
      </c>
      <c r="C47" s="25"/>
      <c r="D47" s="26"/>
      <c r="E47" s="26">
        <v>298.75034</v>
      </c>
      <c r="F47" s="26"/>
      <c r="G47" s="56"/>
      <c r="H47" s="57"/>
      <c r="I47" s="26"/>
      <c r="J47" s="109"/>
      <c r="K47" s="79">
        <f t="shared" si="17"/>
        <v>298.75034</v>
      </c>
      <c r="L47" s="27"/>
      <c r="M47" s="92"/>
      <c r="N47" s="93">
        <v>298.75034</v>
      </c>
      <c r="O47" s="26"/>
      <c r="P47" s="26"/>
      <c r="Q47" s="26"/>
      <c r="R47" s="103"/>
      <c r="S47" s="121"/>
      <c r="T47" s="79">
        <f t="shared" si="13"/>
        <v>298.75034</v>
      </c>
      <c r="U47" s="122">
        <f t="shared" si="14"/>
        <v>0</v>
      </c>
    </row>
    <row r="48" spans="1:21" ht="51">
      <c r="A48" s="55" t="s">
        <v>17</v>
      </c>
      <c r="B48" s="19" t="s">
        <v>18</v>
      </c>
      <c r="C48" s="25"/>
      <c r="D48" s="26"/>
      <c r="E48" s="26">
        <v>254.93051</v>
      </c>
      <c r="F48" s="26"/>
      <c r="G48" s="56"/>
      <c r="H48" s="57"/>
      <c r="I48" s="26"/>
      <c r="J48" s="109"/>
      <c r="K48" s="79">
        <f t="shared" si="17"/>
        <v>254.93051</v>
      </c>
      <c r="L48" s="27"/>
      <c r="M48" s="92"/>
      <c r="N48" s="93">
        <v>254.93051</v>
      </c>
      <c r="O48" s="26"/>
      <c r="P48" s="26"/>
      <c r="Q48" s="26"/>
      <c r="R48" s="103"/>
      <c r="S48" s="121"/>
      <c r="T48" s="79">
        <f t="shared" si="13"/>
        <v>254.93051</v>
      </c>
      <c r="U48" s="122">
        <f t="shared" si="14"/>
        <v>0</v>
      </c>
    </row>
    <row r="49" spans="1:21" ht="63.75">
      <c r="A49" s="55" t="s">
        <v>19</v>
      </c>
      <c r="B49" s="58" t="s">
        <v>20</v>
      </c>
      <c r="C49" s="59"/>
      <c r="D49" s="60"/>
      <c r="E49" s="60">
        <f>266+168</f>
        <v>434</v>
      </c>
      <c r="F49" s="60"/>
      <c r="G49" s="61"/>
      <c r="H49" s="62"/>
      <c r="I49" s="60"/>
      <c r="J49" s="110"/>
      <c r="K49" s="75">
        <f t="shared" si="17"/>
        <v>434</v>
      </c>
      <c r="L49" s="53"/>
      <c r="M49" s="107"/>
      <c r="N49" s="108">
        <f>264</f>
        <v>264</v>
      </c>
      <c r="O49" s="54"/>
      <c r="P49" s="54"/>
      <c r="Q49" s="54"/>
      <c r="R49" s="105"/>
      <c r="S49" s="123"/>
      <c r="T49" s="75">
        <f t="shared" si="13"/>
        <v>264</v>
      </c>
      <c r="U49" s="124">
        <f t="shared" si="14"/>
        <v>170</v>
      </c>
    </row>
    <row r="50" spans="1:21" ht="63.75">
      <c r="A50" s="55" t="s">
        <v>21</v>
      </c>
      <c r="B50" s="63" t="s">
        <v>22</v>
      </c>
      <c r="C50" s="21"/>
      <c r="D50" s="22"/>
      <c r="E50" s="22">
        <f>1900-4.16667-66.5696-59.61395-3.5-15-17.77798</f>
        <v>1733.3718</v>
      </c>
      <c r="F50" s="22"/>
      <c r="G50" s="64"/>
      <c r="H50" s="65"/>
      <c r="I50" s="22"/>
      <c r="J50" s="111"/>
      <c r="K50" s="75">
        <f t="shared" si="17"/>
        <v>1733.3718</v>
      </c>
      <c r="L50" s="27"/>
      <c r="M50" s="92"/>
      <c r="N50" s="93">
        <v>1733.3718</v>
      </c>
      <c r="O50" s="26"/>
      <c r="P50" s="26"/>
      <c r="Q50" s="26"/>
      <c r="R50" s="103"/>
      <c r="S50" s="121"/>
      <c r="T50" s="79">
        <f t="shared" si="13"/>
        <v>1733.3718</v>
      </c>
      <c r="U50" s="122">
        <f t="shared" si="14"/>
        <v>0</v>
      </c>
    </row>
    <row r="51" spans="1:21" ht="63.75">
      <c r="A51" s="55" t="s">
        <v>23</v>
      </c>
      <c r="B51" s="63" t="s">
        <v>24</v>
      </c>
      <c r="C51" s="21"/>
      <c r="D51" s="22"/>
      <c r="E51" s="22">
        <v>51.54811</v>
      </c>
      <c r="F51" s="22"/>
      <c r="G51" s="64"/>
      <c r="H51" s="65"/>
      <c r="I51" s="22"/>
      <c r="J51" s="111"/>
      <c r="K51" s="75">
        <f t="shared" si="17"/>
        <v>51.54811</v>
      </c>
      <c r="L51" s="27"/>
      <c r="M51" s="92"/>
      <c r="N51" s="112">
        <v>15.46443</v>
      </c>
      <c r="O51" s="26"/>
      <c r="P51" s="26"/>
      <c r="Q51" s="26"/>
      <c r="R51" s="103"/>
      <c r="S51" s="121"/>
      <c r="T51" s="79">
        <f t="shared" si="13"/>
        <v>15.46443</v>
      </c>
      <c r="U51" s="122">
        <f t="shared" si="14"/>
        <v>36.08368</v>
      </c>
    </row>
    <row r="52" spans="1:21" ht="66" customHeight="1">
      <c r="A52" s="55" t="s">
        <v>25</v>
      </c>
      <c r="B52" s="66" t="s">
        <v>26</v>
      </c>
      <c r="C52" s="21"/>
      <c r="D52" s="22"/>
      <c r="E52" s="22">
        <f>258.4-52.16667-147.89995+8.33334</f>
        <v>66.66671999999997</v>
      </c>
      <c r="F52" s="22"/>
      <c r="G52" s="64"/>
      <c r="H52" s="65"/>
      <c r="I52" s="22"/>
      <c r="J52" s="111"/>
      <c r="K52" s="75">
        <f t="shared" si="17"/>
        <v>66.66671999999997</v>
      </c>
      <c r="L52" s="53"/>
      <c r="M52" s="107"/>
      <c r="N52" s="108">
        <f>58.33338+2.5</f>
        <v>60.83338</v>
      </c>
      <c r="O52" s="54"/>
      <c r="P52" s="54"/>
      <c r="Q52" s="54"/>
      <c r="R52" s="105"/>
      <c r="S52" s="123"/>
      <c r="T52" s="75">
        <f t="shared" si="13"/>
        <v>60.83338</v>
      </c>
      <c r="U52" s="124">
        <f t="shared" si="14"/>
        <v>5.833339999999971</v>
      </c>
    </row>
    <row r="53" spans="1:21" ht="63.75">
      <c r="A53" s="55" t="s">
        <v>27</v>
      </c>
      <c r="B53" s="66" t="s">
        <v>28</v>
      </c>
      <c r="C53" s="21"/>
      <c r="D53" s="22"/>
      <c r="E53" s="22">
        <f>30-24</f>
        <v>6</v>
      </c>
      <c r="F53" s="22"/>
      <c r="G53" s="64"/>
      <c r="H53" s="65"/>
      <c r="I53" s="65"/>
      <c r="J53" s="111"/>
      <c r="K53" s="75">
        <f t="shared" si="17"/>
        <v>6</v>
      </c>
      <c r="L53" s="53"/>
      <c r="M53" s="107"/>
      <c r="N53" s="108">
        <v>4.16667</v>
      </c>
      <c r="O53" s="54"/>
      <c r="P53" s="54"/>
      <c r="Q53" s="54"/>
      <c r="R53" s="105"/>
      <c r="S53" s="123"/>
      <c r="T53" s="75">
        <f t="shared" si="13"/>
        <v>4.16667</v>
      </c>
      <c r="U53" s="124">
        <f t="shared" si="14"/>
        <v>1.8333300000000001</v>
      </c>
    </row>
    <row r="54" spans="1:21" ht="114.75">
      <c r="A54" s="55" t="s">
        <v>29</v>
      </c>
      <c r="B54" s="66" t="s">
        <v>30</v>
      </c>
      <c r="C54" s="21"/>
      <c r="D54" s="22"/>
      <c r="E54" s="22">
        <f>30+15</f>
        <v>45</v>
      </c>
      <c r="F54" s="22"/>
      <c r="G54" s="64"/>
      <c r="H54" s="65"/>
      <c r="I54" s="22"/>
      <c r="J54" s="111"/>
      <c r="K54" s="75">
        <f aca="true" t="shared" si="20" ref="K54:K95">SUM(C54:J54)</f>
        <v>45</v>
      </c>
      <c r="L54" s="53"/>
      <c r="M54" s="107"/>
      <c r="N54" s="108">
        <v>45</v>
      </c>
      <c r="O54" s="54"/>
      <c r="P54" s="54"/>
      <c r="Q54" s="54"/>
      <c r="R54" s="105"/>
      <c r="S54" s="123"/>
      <c r="T54" s="75">
        <f aca="true" t="shared" si="21" ref="T54:T115">SUM(L54:S54)</f>
        <v>45</v>
      </c>
      <c r="U54" s="124">
        <f aca="true" t="shared" si="22" ref="U54:U115">K54-T54</f>
        <v>0</v>
      </c>
    </row>
    <row r="55" spans="1:21" ht="78.75" customHeight="1">
      <c r="A55" s="55" t="s">
        <v>31</v>
      </c>
      <c r="B55" s="66" t="s">
        <v>32</v>
      </c>
      <c r="C55" s="21"/>
      <c r="D55" s="22"/>
      <c r="E55" s="22">
        <f>50-23.3177</f>
        <v>26.6823</v>
      </c>
      <c r="F55" s="22"/>
      <c r="G55" s="64"/>
      <c r="H55" s="65"/>
      <c r="I55" s="22"/>
      <c r="J55" s="111"/>
      <c r="K55" s="75">
        <f t="shared" si="20"/>
        <v>26.6823</v>
      </c>
      <c r="L55" s="53"/>
      <c r="M55" s="107"/>
      <c r="N55" s="108">
        <v>8.00469</v>
      </c>
      <c r="O55" s="54"/>
      <c r="P55" s="54"/>
      <c r="Q55" s="54"/>
      <c r="R55" s="105"/>
      <c r="S55" s="123"/>
      <c r="T55" s="75">
        <f t="shared" si="21"/>
        <v>8.00469</v>
      </c>
      <c r="U55" s="124">
        <f t="shared" si="22"/>
        <v>18.67761</v>
      </c>
    </row>
    <row r="56" spans="1:21" ht="89.25">
      <c r="A56" s="55" t="s">
        <v>33</v>
      </c>
      <c r="B56" s="63" t="s">
        <v>34</v>
      </c>
      <c r="C56" s="25"/>
      <c r="D56" s="26"/>
      <c r="E56" s="26">
        <v>157.89686</v>
      </c>
      <c r="F56" s="26"/>
      <c r="G56" s="56"/>
      <c r="H56" s="57"/>
      <c r="I56" s="26"/>
      <c r="J56" s="109"/>
      <c r="K56" s="79">
        <f t="shared" si="20"/>
        <v>157.89686</v>
      </c>
      <c r="L56" s="27"/>
      <c r="M56" s="92"/>
      <c r="N56" s="93">
        <f>75.936+57.04793+24.91293</f>
        <v>157.89686</v>
      </c>
      <c r="O56" s="26"/>
      <c r="P56" s="26"/>
      <c r="Q56" s="26"/>
      <c r="R56" s="103"/>
      <c r="S56" s="121"/>
      <c r="T56" s="79">
        <f t="shared" si="21"/>
        <v>157.89686</v>
      </c>
      <c r="U56" s="122">
        <f t="shared" si="22"/>
        <v>0</v>
      </c>
    </row>
    <row r="57" spans="1:21" ht="76.5">
      <c r="A57" s="55" t="s">
        <v>35</v>
      </c>
      <c r="B57" s="16" t="s">
        <v>36</v>
      </c>
      <c r="C57" s="21"/>
      <c r="D57" s="22"/>
      <c r="E57" s="22">
        <v>13.93393</v>
      </c>
      <c r="F57" s="22"/>
      <c r="G57" s="64"/>
      <c r="H57" s="65"/>
      <c r="I57" s="22"/>
      <c r="J57" s="111"/>
      <c r="K57" s="75">
        <f t="shared" si="20"/>
        <v>13.93393</v>
      </c>
      <c r="L57" s="53"/>
      <c r="M57" s="107"/>
      <c r="N57" s="108">
        <v>13.93393</v>
      </c>
      <c r="O57" s="54"/>
      <c r="P57" s="54"/>
      <c r="Q57" s="54"/>
      <c r="R57" s="105"/>
      <c r="S57" s="123"/>
      <c r="T57" s="75">
        <f t="shared" si="21"/>
        <v>13.93393</v>
      </c>
      <c r="U57" s="124">
        <f t="shared" si="22"/>
        <v>0</v>
      </c>
    </row>
    <row r="58" spans="1:21" ht="102">
      <c r="A58" s="55" t="s">
        <v>37</v>
      </c>
      <c r="B58" s="67" t="s">
        <v>38</v>
      </c>
      <c r="C58" s="25"/>
      <c r="D58" s="26"/>
      <c r="E58" s="26">
        <f>31.39129+4.16667</f>
        <v>35.55796</v>
      </c>
      <c r="F58" s="22"/>
      <c r="G58" s="64"/>
      <c r="H58" s="65"/>
      <c r="I58" s="22"/>
      <c r="J58" s="111"/>
      <c r="K58" s="75">
        <f t="shared" si="20"/>
        <v>35.55796</v>
      </c>
      <c r="L58" s="53"/>
      <c r="M58" s="107"/>
      <c r="N58" s="93">
        <f>31.39129+1.25</f>
        <v>32.64129</v>
      </c>
      <c r="O58" s="54"/>
      <c r="P58" s="54"/>
      <c r="Q58" s="54"/>
      <c r="R58" s="105"/>
      <c r="S58" s="123"/>
      <c r="T58" s="75">
        <f t="shared" si="21"/>
        <v>32.64129</v>
      </c>
      <c r="U58" s="124">
        <f t="shared" si="22"/>
        <v>2.9166700000000034</v>
      </c>
    </row>
    <row r="59" spans="1:21" ht="63.75">
      <c r="A59" s="55" t="s">
        <v>39</v>
      </c>
      <c r="B59" s="68" t="s">
        <v>40</v>
      </c>
      <c r="C59" s="21"/>
      <c r="D59" s="22"/>
      <c r="E59" s="22">
        <v>197</v>
      </c>
      <c r="F59" s="22"/>
      <c r="G59" s="64"/>
      <c r="H59" s="65"/>
      <c r="I59" s="22"/>
      <c r="J59" s="111"/>
      <c r="K59" s="75">
        <f t="shared" si="20"/>
        <v>197</v>
      </c>
      <c r="L59" s="53"/>
      <c r="M59" s="107"/>
      <c r="N59" s="108">
        <v>197</v>
      </c>
      <c r="O59" s="54"/>
      <c r="P59" s="54"/>
      <c r="Q59" s="54"/>
      <c r="R59" s="105"/>
      <c r="S59" s="123"/>
      <c r="T59" s="75">
        <f t="shared" si="21"/>
        <v>197</v>
      </c>
      <c r="U59" s="124">
        <f t="shared" si="22"/>
        <v>0</v>
      </c>
    </row>
    <row r="60" spans="1:21" ht="89.25">
      <c r="A60" s="55" t="s">
        <v>41</v>
      </c>
      <c r="B60" s="66" t="s">
        <v>42</v>
      </c>
      <c r="C60" s="21"/>
      <c r="D60" s="22"/>
      <c r="E60" s="22">
        <f>295.3693-101.4304</f>
        <v>193.9389</v>
      </c>
      <c r="F60" s="22"/>
      <c r="G60" s="64"/>
      <c r="H60" s="65"/>
      <c r="I60" s="22"/>
      <c r="J60" s="111"/>
      <c r="K60" s="75">
        <f t="shared" si="20"/>
        <v>193.9389</v>
      </c>
      <c r="L60" s="53"/>
      <c r="M60" s="107"/>
      <c r="N60" s="76">
        <f>295.3693-101.4304</f>
        <v>193.9389</v>
      </c>
      <c r="O60" s="54"/>
      <c r="P60" s="54"/>
      <c r="Q60" s="54"/>
      <c r="R60" s="105"/>
      <c r="S60" s="123"/>
      <c r="T60" s="75">
        <f t="shared" si="21"/>
        <v>193.9389</v>
      </c>
      <c r="U60" s="124">
        <f t="shared" si="22"/>
        <v>0</v>
      </c>
    </row>
    <row r="61" spans="1:21" ht="91.5" customHeight="1">
      <c r="A61" s="55" t="s">
        <v>43</v>
      </c>
      <c r="B61" s="69" t="s">
        <v>44</v>
      </c>
      <c r="C61" s="21"/>
      <c r="D61" s="22"/>
      <c r="E61" s="22">
        <f>144+48+96</f>
        <v>288</v>
      </c>
      <c r="F61" s="22"/>
      <c r="G61" s="64"/>
      <c r="H61" s="65"/>
      <c r="I61" s="22"/>
      <c r="J61" s="111"/>
      <c r="K61" s="75">
        <f t="shared" si="20"/>
        <v>288</v>
      </c>
      <c r="L61" s="53"/>
      <c r="M61" s="107"/>
      <c r="N61" s="108">
        <v>187.2</v>
      </c>
      <c r="O61" s="54"/>
      <c r="P61" s="54"/>
      <c r="Q61" s="54"/>
      <c r="R61" s="105"/>
      <c r="S61" s="123"/>
      <c r="T61" s="75">
        <f t="shared" si="21"/>
        <v>187.2</v>
      </c>
      <c r="U61" s="124">
        <f t="shared" si="22"/>
        <v>100.80000000000001</v>
      </c>
    </row>
    <row r="62" spans="1:21" ht="76.5">
      <c r="A62" s="55" t="s">
        <v>45</v>
      </c>
      <c r="B62" s="69" t="s">
        <v>46</v>
      </c>
      <c r="C62" s="21"/>
      <c r="D62" s="22"/>
      <c r="E62" s="22">
        <v>4.16667</v>
      </c>
      <c r="F62" s="22"/>
      <c r="G62" s="64"/>
      <c r="H62" s="65"/>
      <c r="I62" s="22"/>
      <c r="J62" s="111"/>
      <c r="K62" s="75">
        <f t="shared" si="20"/>
        <v>4.16667</v>
      </c>
      <c r="L62" s="53"/>
      <c r="M62" s="107"/>
      <c r="N62" s="108">
        <v>4.16667</v>
      </c>
      <c r="O62" s="54"/>
      <c r="P62" s="54"/>
      <c r="Q62" s="54"/>
      <c r="R62" s="105"/>
      <c r="S62" s="123"/>
      <c r="T62" s="75">
        <f t="shared" si="21"/>
        <v>4.16667</v>
      </c>
      <c r="U62" s="124">
        <f t="shared" si="22"/>
        <v>0</v>
      </c>
    </row>
    <row r="63" spans="1:21" ht="63.75">
      <c r="A63" s="55" t="s">
        <v>47</v>
      </c>
      <c r="B63" s="69" t="s">
        <v>48</v>
      </c>
      <c r="C63" s="21"/>
      <c r="D63" s="22"/>
      <c r="E63" s="22">
        <v>24</v>
      </c>
      <c r="F63" s="22"/>
      <c r="G63" s="64"/>
      <c r="H63" s="65"/>
      <c r="I63" s="22"/>
      <c r="J63" s="111"/>
      <c r="K63" s="75">
        <f t="shared" si="20"/>
        <v>24</v>
      </c>
      <c r="L63" s="53"/>
      <c r="M63" s="107"/>
      <c r="N63" s="108">
        <v>24</v>
      </c>
      <c r="O63" s="54"/>
      <c r="P63" s="54"/>
      <c r="Q63" s="54"/>
      <c r="R63" s="105"/>
      <c r="S63" s="123"/>
      <c r="T63" s="75">
        <f t="shared" si="21"/>
        <v>24</v>
      </c>
      <c r="U63" s="124">
        <f t="shared" si="22"/>
        <v>0</v>
      </c>
    </row>
    <row r="64" spans="1:21" ht="63.75">
      <c r="A64" s="55" t="s">
        <v>49</v>
      </c>
      <c r="B64" s="66" t="s">
        <v>50</v>
      </c>
      <c r="C64" s="21"/>
      <c r="D64" s="22"/>
      <c r="E64" s="22">
        <v>24</v>
      </c>
      <c r="F64" s="22"/>
      <c r="G64" s="64"/>
      <c r="H64" s="65"/>
      <c r="I64" s="22"/>
      <c r="J64" s="111"/>
      <c r="K64" s="75">
        <f t="shared" si="20"/>
        <v>24</v>
      </c>
      <c r="L64" s="53"/>
      <c r="M64" s="107"/>
      <c r="N64" s="108">
        <v>24</v>
      </c>
      <c r="O64" s="54"/>
      <c r="P64" s="54"/>
      <c r="Q64" s="54"/>
      <c r="R64" s="105"/>
      <c r="S64" s="123"/>
      <c r="T64" s="75">
        <f t="shared" si="21"/>
        <v>24</v>
      </c>
      <c r="U64" s="124">
        <f t="shared" si="22"/>
        <v>0</v>
      </c>
    </row>
    <row r="65" spans="1:21" ht="76.5">
      <c r="A65" s="55" t="s">
        <v>51</v>
      </c>
      <c r="B65" s="69" t="s">
        <v>52</v>
      </c>
      <c r="C65" s="21"/>
      <c r="D65" s="22"/>
      <c r="E65" s="22">
        <v>4.16667</v>
      </c>
      <c r="F65" s="22"/>
      <c r="G65" s="64"/>
      <c r="H65" s="65"/>
      <c r="I65" s="22"/>
      <c r="J65" s="111"/>
      <c r="K65" s="75">
        <f t="shared" si="20"/>
        <v>4.16667</v>
      </c>
      <c r="L65" s="53"/>
      <c r="M65" s="107"/>
      <c r="N65" s="108">
        <v>4.16667</v>
      </c>
      <c r="O65" s="54"/>
      <c r="P65" s="54"/>
      <c r="Q65" s="54"/>
      <c r="R65" s="105"/>
      <c r="S65" s="123"/>
      <c r="T65" s="75">
        <f t="shared" si="21"/>
        <v>4.16667</v>
      </c>
      <c r="U65" s="124">
        <f t="shared" si="22"/>
        <v>0</v>
      </c>
    </row>
    <row r="66" spans="1:21" ht="63.75">
      <c r="A66" s="55" t="s">
        <v>53</v>
      </c>
      <c r="B66" s="69" t="s">
        <v>54</v>
      </c>
      <c r="C66" s="21"/>
      <c r="D66" s="22"/>
      <c r="E66" s="22">
        <v>24</v>
      </c>
      <c r="F66" s="22"/>
      <c r="G66" s="64"/>
      <c r="H66" s="65"/>
      <c r="I66" s="22"/>
      <c r="J66" s="111"/>
      <c r="K66" s="75">
        <f t="shared" si="20"/>
        <v>24</v>
      </c>
      <c r="L66" s="53"/>
      <c r="M66" s="107"/>
      <c r="N66" s="108">
        <v>24</v>
      </c>
      <c r="O66" s="54"/>
      <c r="P66" s="54"/>
      <c r="Q66" s="54"/>
      <c r="R66" s="105"/>
      <c r="S66" s="123"/>
      <c r="T66" s="75">
        <f t="shared" si="21"/>
        <v>24</v>
      </c>
      <c r="U66" s="124">
        <f t="shared" si="22"/>
        <v>0</v>
      </c>
    </row>
    <row r="67" spans="1:21" ht="63.75">
      <c r="A67" s="55" t="s">
        <v>55</v>
      </c>
      <c r="B67" s="69" t="s">
        <v>56</v>
      </c>
      <c r="C67" s="21"/>
      <c r="D67" s="22"/>
      <c r="E67" s="22">
        <v>24</v>
      </c>
      <c r="F67" s="22"/>
      <c r="G67" s="64"/>
      <c r="H67" s="65"/>
      <c r="I67" s="22"/>
      <c r="J67" s="111"/>
      <c r="K67" s="75">
        <f t="shared" si="20"/>
        <v>24</v>
      </c>
      <c r="L67" s="53"/>
      <c r="M67" s="107"/>
      <c r="N67" s="108">
        <v>24</v>
      </c>
      <c r="O67" s="54"/>
      <c r="P67" s="54"/>
      <c r="Q67" s="54"/>
      <c r="R67" s="105"/>
      <c r="S67" s="123"/>
      <c r="T67" s="75">
        <f t="shared" si="21"/>
        <v>24</v>
      </c>
      <c r="U67" s="124">
        <f t="shared" si="22"/>
        <v>0</v>
      </c>
    </row>
    <row r="68" spans="1:21" ht="76.5">
      <c r="A68" s="55" t="s">
        <v>57</v>
      </c>
      <c r="B68" s="69" t="s">
        <v>58</v>
      </c>
      <c r="C68" s="21"/>
      <c r="D68" s="22"/>
      <c r="E68" s="22">
        <v>24</v>
      </c>
      <c r="F68" s="22"/>
      <c r="G68" s="64"/>
      <c r="H68" s="65"/>
      <c r="I68" s="22"/>
      <c r="J68" s="111"/>
      <c r="K68" s="75">
        <f t="shared" si="20"/>
        <v>24</v>
      </c>
      <c r="L68" s="53"/>
      <c r="M68" s="107"/>
      <c r="N68" s="108">
        <v>7.2</v>
      </c>
      <c r="O68" s="54"/>
      <c r="P68" s="54"/>
      <c r="Q68" s="54"/>
      <c r="R68" s="105"/>
      <c r="S68" s="123"/>
      <c r="T68" s="75">
        <f t="shared" si="21"/>
        <v>7.2</v>
      </c>
      <c r="U68" s="124">
        <f t="shared" si="22"/>
        <v>16.8</v>
      </c>
    </row>
    <row r="69" spans="1:21" ht="76.5">
      <c r="A69" s="55" t="s">
        <v>59</v>
      </c>
      <c r="B69" s="63" t="s">
        <v>60</v>
      </c>
      <c r="C69" s="25"/>
      <c r="D69" s="26"/>
      <c r="E69" s="26">
        <v>56.11176</v>
      </c>
      <c r="F69" s="26"/>
      <c r="G69" s="56"/>
      <c r="H69" s="57"/>
      <c r="I69" s="26"/>
      <c r="J69" s="109"/>
      <c r="K69" s="79">
        <f t="shared" si="20"/>
        <v>56.11176</v>
      </c>
      <c r="L69" s="27"/>
      <c r="M69" s="92"/>
      <c r="N69" s="93">
        <v>16.83353</v>
      </c>
      <c r="O69" s="26"/>
      <c r="P69" s="26"/>
      <c r="Q69" s="26"/>
      <c r="R69" s="103"/>
      <c r="S69" s="121"/>
      <c r="T69" s="79">
        <f t="shared" si="21"/>
        <v>16.83353</v>
      </c>
      <c r="U69" s="122">
        <f t="shared" si="22"/>
        <v>39.27822999999999</v>
      </c>
    </row>
    <row r="70" spans="1:21" ht="63.75">
      <c r="A70" s="55" t="s">
        <v>61</v>
      </c>
      <c r="B70" s="69" t="s">
        <v>62</v>
      </c>
      <c r="C70" s="21"/>
      <c r="D70" s="22"/>
      <c r="E70" s="18">
        <v>20</v>
      </c>
      <c r="F70" s="22"/>
      <c r="G70" s="64"/>
      <c r="H70" s="65"/>
      <c r="I70" s="22"/>
      <c r="J70" s="111"/>
      <c r="K70" s="75">
        <f t="shared" si="20"/>
        <v>20</v>
      </c>
      <c r="L70" s="53"/>
      <c r="M70" s="107"/>
      <c r="N70" s="170">
        <v>20</v>
      </c>
      <c r="O70" s="54"/>
      <c r="P70" s="54"/>
      <c r="Q70" s="54"/>
      <c r="R70" s="105"/>
      <c r="S70" s="123"/>
      <c r="T70" s="75">
        <f t="shared" si="21"/>
        <v>20</v>
      </c>
      <c r="U70" s="124">
        <f t="shared" si="22"/>
        <v>0</v>
      </c>
    </row>
    <row r="71" spans="1:21" ht="63.75">
      <c r="A71" s="55" t="s">
        <v>63</v>
      </c>
      <c r="B71" s="69" t="s">
        <v>64</v>
      </c>
      <c r="C71" s="21"/>
      <c r="D71" s="22"/>
      <c r="E71" s="18">
        <v>207.5139</v>
      </c>
      <c r="F71" s="22"/>
      <c r="G71" s="64"/>
      <c r="H71" s="65"/>
      <c r="I71" s="22"/>
      <c r="J71" s="111"/>
      <c r="K71" s="75">
        <f t="shared" si="20"/>
        <v>207.5139</v>
      </c>
      <c r="L71" s="53"/>
      <c r="M71" s="107"/>
      <c r="N71" s="170">
        <v>207.5139</v>
      </c>
      <c r="O71" s="54"/>
      <c r="P71" s="54"/>
      <c r="Q71" s="54"/>
      <c r="R71" s="105"/>
      <c r="S71" s="123"/>
      <c r="T71" s="75">
        <f t="shared" si="21"/>
        <v>207.5139</v>
      </c>
      <c r="U71" s="124">
        <f t="shared" si="22"/>
        <v>0</v>
      </c>
    </row>
    <row r="72" spans="1:21" ht="78" customHeight="1">
      <c r="A72" s="55" t="s">
        <v>65</v>
      </c>
      <c r="B72" s="69" t="s">
        <v>66</v>
      </c>
      <c r="C72" s="21"/>
      <c r="D72" s="22"/>
      <c r="E72" s="18">
        <v>38.0458</v>
      </c>
      <c r="F72" s="22"/>
      <c r="G72" s="64"/>
      <c r="H72" s="65"/>
      <c r="I72" s="22"/>
      <c r="J72" s="111"/>
      <c r="K72" s="75">
        <f t="shared" si="20"/>
        <v>38.0458</v>
      </c>
      <c r="L72" s="53"/>
      <c r="M72" s="107"/>
      <c r="N72" s="108">
        <v>11.41374</v>
      </c>
      <c r="O72" s="54"/>
      <c r="P72" s="54"/>
      <c r="Q72" s="54"/>
      <c r="R72" s="105"/>
      <c r="S72" s="123"/>
      <c r="T72" s="75">
        <f t="shared" si="21"/>
        <v>11.41374</v>
      </c>
      <c r="U72" s="124">
        <f t="shared" si="22"/>
        <v>26.63206</v>
      </c>
    </row>
    <row r="73" spans="1:21" ht="76.5">
      <c r="A73" s="55" t="s">
        <v>67</v>
      </c>
      <c r="B73" s="69" t="s">
        <v>68</v>
      </c>
      <c r="C73" s="21"/>
      <c r="D73" s="22"/>
      <c r="E73" s="18">
        <v>39.5554</v>
      </c>
      <c r="F73" s="22"/>
      <c r="G73" s="64"/>
      <c r="H73" s="65"/>
      <c r="I73" s="22"/>
      <c r="J73" s="111"/>
      <c r="K73" s="75">
        <f t="shared" si="20"/>
        <v>39.5554</v>
      </c>
      <c r="L73" s="53"/>
      <c r="M73" s="107"/>
      <c r="N73" s="108">
        <v>11.86662</v>
      </c>
      <c r="O73" s="54"/>
      <c r="P73" s="54"/>
      <c r="Q73" s="54"/>
      <c r="R73" s="105"/>
      <c r="S73" s="123"/>
      <c r="T73" s="75">
        <f t="shared" si="21"/>
        <v>11.86662</v>
      </c>
      <c r="U73" s="124">
        <f t="shared" si="22"/>
        <v>27.68878</v>
      </c>
    </row>
    <row r="74" spans="1:21" ht="76.5">
      <c r="A74" s="55" t="s">
        <v>69</v>
      </c>
      <c r="B74" s="69" t="s">
        <v>70</v>
      </c>
      <c r="C74" s="21"/>
      <c r="D74" s="22"/>
      <c r="E74" s="18">
        <v>20</v>
      </c>
      <c r="F74" s="22"/>
      <c r="G74" s="64"/>
      <c r="H74" s="65"/>
      <c r="I74" s="22"/>
      <c r="J74" s="111"/>
      <c r="K74" s="75">
        <f t="shared" si="20"/>
        <v>20</v>
      </c>
      <c r="L74" s="53"/>
      <c r="M74" s="107"/>
      <c r="N74" s="108">
        <v>6</v>
      </c>
      <c r="O74" s="54"/>
      <c r="P74" s="54"/>
      <c r="Q74" s="54"/>
      <c r="R74" s="105"/>
      <c r="S74" s="123"/>
      <c r="T74" s="75">
        <f t="shared" si="21"/>
        <v>6</v>
      </c>
      <c r="U74" s="124">
        <f t="shared" si="22"/>
        <v>14</v>
      </c>
    </row>
    <row r="75" spans="1:21" ht="63.75">
      <c r="A75" s="55" t="s">
        <v>71</v>
      </c>
      <c r="B75" s="69" t="s">
        <v>72</v>
      </c>
      <c r="C75" s="21"/>
      <c r="D75" s="22"/>
      <c r="E75" s="18">
        <v>4.16667</v>
      </c>
      <c r="F75" s="22"/>
      <c r="G75" s="64"/>
      <c r="H75" s="65"/>
      <c r="I75" s="22"/>
      <c r="J75" s="111"/>
      <c r="K75" s="75">
        <f t="shared" si="20"/>
        <v>4.16667</v>
      </c>
      <c r="L75" s="53"/>
      <c r="M75" s="107"/>
      <c r="N75" s="108">
        <v>1.25</v>
      </c>
      <c r="O75" s="54"/>
      <c r="P75" s="54"/>
      <c r="Q75" s="54"/>
      <c r="R75" s="105"/>
      <c r="S75" s="123"/>
      <c r="T75" s="75">
        <f t="shared" si="21"/>
        <v>1.25</v>
      </c>
      <c r="U75" s="124">
        <f t="shared" si="22"/>
        <v>2.91667</v>
      </c>
    </row>
    <row r="76" spans="1:21" ht="63.75">
      <c r="A76" s="55" t="s">
        <v>73</v>
      </c>
      <c r="B76" s="63" t="s">
        <v>74</v>
      </c>
      <c r="C76" s="21"/>
      <c r="D76" s="22"/>
      <c r="E76" s="18">
        <v>3000</v>
      </c>
      <c r="F76" s="22"/>
      <c r="G76" s="64"/>
      <c r="H76" s="65"/>
      <c r="I76" s="22"/>
      <c r="J76" s="111"/>
      <c r="K76" s="75">
        <f t="shared" si="20"/>
        <v>3000</v>
      </c>
      <c r="L76" s="53"/>
      <c r="M76" s="107"/>
      <c r="N76" s="108"/>
      <c r="O76" s="54"/>
      <c r="P76" s="54"/>
      <c r="Q76" s="54"/>
      <c r="R76" s="105"/>
      <c r="S76" s="123"/>
      <c r="T76" s="75">
        <f t="shared" si="21"/>
        <v>0</v>
      </c>
      <c r="U76" s="124">
        <f t="shared" si="22"/>
        <v>3000</v>
      </c>
    </row>
    <row r="77" spans="1:21" ht="78" customHeight="1">
      <c r="A77" s="55" t="s">
        <v>75</v>
      </c>
      <c r="B77" s="69" t="s">
        <v>76</v>
      </c>
      <c r="C77" s="21"/>
      <c r="D77" s="22"/>
      <c r="E77" s="18">
        <f>240+24</f>
        <v>264</v>
      </c>
      <c r="F77" s="22"/>
      <c r="G77" s="64"/>
      <c r="H77" s="65"/>
      <c r="I77" s="22"/>
      <c r="J77" s="111"/>
      <c r="K77" s="75">
        <f t="shared" si="20"/>
        <v>264</v>
      </c>
      <c r="L77" s="53"/>
      <c r="M77" s="107"/>
      <c r="N77" s="108">
        <f>72+7.2</f>
        <v>79.2</v>
      </c>
      <c r="O77" s="54"/>
      <c r="P77" s="54"/>
      <c r="Q77" s="54"/>
      <c r="R77" s="105"/>
      <c r="S77" s="123"/>
      <c r="T77" s="75">
        <f t="shared" si="21"/>
        <v>79.2</v>
      </c>
      <c r="U77" s="124">
        <f t="shared" si="22"/>
        <v>184.8</v>
      </c>
    </row>
    <row r="78" spans="1:21" ht="76.5">
      <c r="A78" s="55" t="s">
        <v>77</v>
      </c>
      <c r="B78" s="69" t="s">
        <v>78</v>
      </c>
      <c r="C78" s="21"/>
      <c r="D78" s="22"/>
      <c r="E78" s="18">
        <v>24</v>
      </c>
      <c r="F78" s="22"/>
      <c r="G78" s="64"/>
      <c r="H78" s="65"/>
      <c r="I78" s="22"/>
      <c r="J78" s="111"/>
      <c r="K78" s="75">
        <f t="shared" si="20"/>
        <v>24</v>
      </c>
      <c r="L78" s="53"/>
      <c r="M78" s="107"/>
      <c r="N78" s="108">
        <v>7.2</v>
      </c>
      <c r="O78" s="54"/>
      <c r="P78" s="54"/>
      <c r="Q78" s="54"/>
      <c r="R78" s="105"/>
      <c r="S78" s="123"/>
      <c r="T78" s="75">
        <f t="shared" si="21"/>
        <v>7.2</v>
      </c>
      <c r="U78" s="124">
        <f t="shared" si="22"/>
        <v>16.8</v>
      </c>
    </row>
    <row r="79" spans="1:21" ht="76.5">
      <c r="A79" s="55" t="s">
        <v>79</v>
      </c>
      <c r="B79" s="69" t="s">
        <v>80</v>
      </c>
      <c r="C79" s="21"/>
      <c r="D79" s="22"/>
      <c r="E79" s="18">
        <v>24</v>
      </c>
      <c r="F79" s="22"/>
      <c r="G79" s="64"/>
      <c r="H79" s="65"/>
      <c r="I79" s="22"/>
      <c r="J79" s="111"/>
      <c r="K79" s="75">
        <f t="shared" si="20"/>
        <v>24</v>
      </c>
      <c r="L79" s="53"/>
      <c r="M79" s="107"/>
      <c r="N79" s="108">
        <v>7.2</v>
      </c>
      <c r="O79" s="54"/>
      <c r="P79" s="54"/>
      <c r="Q79" s="54"/>
      <c r="R79" s="105"/>
      <c r="S79" s="123"/>
      <c r="T79" s="75">
        <f t="shared" si="21"/>
        <v>7.2</v>
      </c>
      <c r="U79" s="124">
        <f t="shared" si="22"/>
        <v>16.8</v>
      </c>
    </row>
    <row r="80" spans="1:21" ht="76.5">
      <c r="A80" s="55" t="s">
        <v>81</v>
      </c>
      <c r="B80" s="69" t="s">
        <v>83</v>
      </c>
      <c r="C80" s="21"/>
      <c r="D80" s="22"/>
      <c r="E80" s="18">
        <v>4.16667</v>
      </c>
      <c r="F80" s="22"/>
      <c r="G80" s="64"/>
      <c r="H80" s="65"/>
      <c r="I80" s="22"/>
      <c r="J80" s="111"/>
      <c r="K80" s="75">
        <f t="shared" si="20"/>
        <v>4.16667</v>
      </c>
      <c r="L80" s="53"/>
      <c r="M80" s="107"/>
      <c r="N80" s="108">
        <v>1.25</v>
      </c>
      <c r="O80" s="54"/>
      <c r="P80" s="54"/>
      <c r="Q80" s="54"/>
      <c r="R80" s="105"/>
      <c r="S80" s="123"/>
      <c r="T80" s="75">
        <f t="shared" si="21"/>
        <v>1.25</v>
      </c>
      <c r="U80" s="124">
        <f t="shared" si="22"/>
        <v>2.91667</v>
      </c>
    </row>
    <row r="81" spans="1:21" ht="63.75">
      <c r="A81" s="55" t="s">
        <v>84</v>
      </c>
      <c r="B81" s="69" t="s">
        <v>85</v>
      </c>
      <c r="C81" s="21"/>
      <c r="D81" s="22"/>
      <c r="E81" s="18">
        <v>13.37089</v>
      </c>
      <c r="F81" s="22"/>
      <c r="G81" s="64"/>
      <c r="H81" s="65"/>
      <c r="I81" s="22"/>
      <c r="J81" s="111"/>
      <c r="K81" s="75">
        <f t="shared" si="20"/>
        <v>13.37089</v>
      </c>
      <c r="L81" s="53"/>
      <c r="M81" s="107"/>
      <c r="N81" s="108">
        <v>4.01127</v>
      </c>
      <c r="O81" s="54"/>
      <c r="P81" s="54"/>
      <c r="Q81" s="54"/>
      <c r="R81" s="105"/>
      <c r="S81" s="123"/>
      <c r="T81" s="75">
        <f t="shared" si="21"/>
        <v>4.01127</v>
      </c>
      <c r="U81" s="124">
        <f t="shared" si="22"/>
        <v>9.35962</v>
      </c>
    </row>
    <row r="82" spans="1:21" ht="76.5">
      <c r="A82" s="55" t="s">
        <v>86</v>
      </c>
      <c r="B82" s="69" t="s">
        <v>87</v>
      </c>
      <c r="C82" s="21"/>
      <c r="D82" s="22"/>
      <c r="E82" s="18">
        <v>24</v>
      </c>
      <c r="F82" s="22"/>
      <c r="G82" s="64"/>
      <c r="H82" s="65"/>
      <c r="I82" s="22"/>
      <c r="J82" s="111"/>
      <c r="K82" s="75">
        <f t="shared" si="20"/>
        <v>24</v>
      </c>
      <c r="L82" s="53"/>
      <c r="M82" s="107"/>
      <c r="N82" s="108">
        <v>7.2</v>
      </c>
      <c r="O82" s="54"/>
      <c r="P82" s="54"/>
      <c r="Q82" s="54"/>
      <c r="R82" s="105"/>
      <c r="S82" s="123"/>
      <c r="T82" s="75">
        <f t="shared" si="21"/>
        <v>7.2</v>
      </c>
      <c r="U82" s="124">
        <f t="shared" si="22"/>
        <v>16.8</v>
      </c>
    </row>
    <row r="83" spans="1:21" ht="85.5" customHeight="1">
      <c r="A83" s="55" t="s">
        <v>88</v>
      </c>
      <c r="B83" s="63" t="s">
        <v>89</v>
      </c>
      <c r="C83" s="25"/>
      <c r="D83" s="26"/>
      <c r="E83" s="27">
        <v>4.16667</v>
      </c>
      <c r="F83" s="26"/>
      <c r="G83" s="56"/>
      <c r="H83" s="57"/>
      <c r="I83" s="26"/>
      <c r="J83" s="109"/>
      <c r="K83" s="79">
        <f t="shared" si="20"/>
        <v>4.16667</v>
      </c>
      <c r="L83" s="27"/>
      <c r="M83" s="92"/>
      <c r="N83" s="93"/>
      <c r="O83" s="26"/>
      <c r="P83" s="26"/>
      <c r="Q83" s="26"/>
      <c r="R83" s="103"/>
      <c r="S83" s="121"/>
      <c r="T83" s="79">
        <f t="shared" si="21"/>
        <v>0</v>
      </c>
      <c r="U83" s="122">
        <f t="shared" si="22"/>
        <v>4.16667</v>
      </c>
    </row>
    <row r="84" spans="1:21" ht="76.5">
      <c r="A84" s="55" t="s">
        <v>90</v>
      </c>
      <c r="B84" s="69" t="s">
        <v>91</v>
      </c>
      <c r="C84" s="21"/>
      <c r="D84" s="22"/>
      <c r="E84" s="18">
        <v>24</v>
      </c>
      <c r="F84" s="22"/>
      <c r="G84" s="64"/>
      <c r="H84" s="65"/>
      <c r="I84" s="22"/>
      <c r="J84" s="111"/>
      <c r="K84" s="75">
        <f t="shared" si="20"/>
        <v>24</v>
      </c>
      <c r="L84" s="53"/>
      <c r="M84" s="107"/>
      <c r="N84" s="108"/>
      <c r="O84" s="54"/>
      <c r="P84" s="54"/>
      <c r="Q84" s="54"/>
      <c r="R84" s="105"/>
      <c r="S84" s="123"/>
      <c r="T84" s="75">
        <f t="shared" si="21"/>
        <v>0</v>
      </c>
      <c r="U84" s="124">
        <f t="shared" si="22"/>
        <v>24</v>
      </c>
    </row>
    <row r="85" spans="1:21" ht="99" customHeight="1">
      <c r="A85" s="55" t="s">
        <v>92</v>
      </c>
      <c r="B85" s="69" t="s">
        <v>93</v>
      </c>
      <c r="C85" s="21"/>
      <c r="D85" s="22"/>
      <c r="E85" s="18">
        <v>24</v>
      </c>
      <c r="F85" s="22"/>
      <c r="G85" s="64"/>
      <c r="H85" s="65"/>
      <c r="I85" s="22"/>
      <c r="J85" s="111"/>
      <c r="K85" s="75">
        <f t="shared" si="20"/>
        <v>24</v>
      </c>
      <c r="L85" s="53"/>
      <c r="M85" s="107"/>
      <c r="N85" s="108"/>
      <c r="O85" s="54"/>
      <c r="P85" s="54"/>
      <c r="Q85" s="54"/>
      <c r="R85" s="105"/>
      <c r="S85" s="123"/>
      <c r="T85" s="75">
        <f t="shared" si="21"/>
        <v>0</v>
      </c>
      <c r="U85" s="124">
        <f t="shared" si="22"/>
        <v>24</v>
      </c>
    </row>
    <row r="86" spans="1:21" ht="93" customHeight="1">
      <c r="A86" s="55" t="s">
        <v>94</v>
      </c>
      <c r="B86" s="69" t="s">
        <v>95</v>
      </c>
      <c r="C86" s="21"/>
      <c r="D86" s="22"/>
      <c r="E86" s="18">
        <v>24</v>
      </c>
      <c r="F86" s="22"/>
      <c r="G86" s="64"/>
      <c r="H86" s="65"/>
      <c r="I86" s="22"/>
      <c r="J86" s="111"/>
      <c r="K86" s="75">
        <f t="shared" si="20"/>
        <v>24</v>
      </c>
      <c r="L86" s="53"/>
      <c r="M86" s="107"/>
      <c r="N86" s="108"/>
      <c r="O86" s="54"/>
      <c r="P86" s="54"/>
      <c r="Q86" s="54"/>
      <c r="R86" s="105"/>
      <c r="S86" s="123"/>
      <c r="T86" s="75">
        <f t="shared" si="21"/>
        <v>0</v>
      </c>
      <c r="U86" s="124">
        <f t="shared" si="22"/>
        <v>24</v>
      </c>
    </row>
    <row r="87" spans="1:21" ht="84" customHeight="1">
      <c r="A87" s="55" t="s">
        <v>96</v>
      </c>
      <c r="B87" s="69" t="s">
        <v>97</v>
      </c>
      <c r="C87" s="21"/>
      <c r="D87" s="22"/>
      <c r="E87" s="18">
        <v>4.16667</v>
      </c>
      <c r="F87" s="22"/>
      <c r="G87" s="64"/>
      <c r="H87" s="65"/>
      <c r="I87" s="22"/>
      <c r="J87" s="111"/>
      <c r="K87" s="75">
        <f t="shared" si="20"/>
        <v>4.16667</v>
      </c>
      <c r="L87" s="53"/>
      <c r="M87" s="107"/>
      <c r="N87" s="108"/>
      <c r="O87" s="54"/>
      <c r="P87" s="54"/>
      <c r="Q87" s="54"/>
      <c r="R87" s="105"/>
      <c r="S87" s="123"/>
      <c r="T87" s="75">
        <f t="shared" si="21"/>
        <v>0</v>
      </c>
      <c r="U87" s="124">
        <f t="shared" si="22"/>
        <v>4.16667</v>
      </c>
    </row>
    <row r="88" spans="1:21" ht="81.75" customHeight="1">
      <c r="A88" s="55" t="s">
        <v>98</v>
      </c>
      <c r="B88" s="69" t="s">
        <v>99</v>
      </c>
      <c r="C88" s="21"/>
      <c r="D88" s="22"/>
      <c r="E88" s="18">
        <v>24</v>
      </c>
      <c r="F88" s="22"/>
      <c r="G88" s="64"/>
      <c r="H88" s="65"/>
      <c r="I88" s="22"/>
      <c r="J88" s="111"/>
      <c r="K88" s="75">
        <f t="shared" si="20"/>
        <v>24</v>
      </c>
      <c r="L88" s="53"/>
      <c r="M88" s="107"/>
      <c r="N88" s="108"/>
      <c r="O88" s="54"/>
      <c r="P88" s="54"/>
      <c r="Q88" s="54"/>
      <c r="R88" s="105"/>
      <c r="S88" s="123"/>
      <c r="T88" s="75">
        <f t="shared" si="21"/>
        <v>0</v>
      </c>
      <c r="U88" s="124">
        <f t="shared" si="22"/>
        <v>24</v>
      </c>
    </row>
    <row r="89" spans="1:21" ht="81" customHeight="1">
      <c r="A89" s="55" t="s">
        <v>100</v>
      </c>
      <c r="B89" s="69" t="s">
        <v>101</v>
      </c>
      <c r="C89" s="21"/>
      <c r="D89" s="22"/>
      <c r="E89" s="18">
        <v>4.16667</v>
      </c>
      <c r="F89" s="22"/>
      <c r="G89" s="64"/>
      <c r="H89" s="65"/>
      <c r="I89" s="22"/>
      <c r="J89" s="111"/>
      <c r="K89" s="75">
        <f t="shared" si="20"/>
        <v>4.16667</v>
      </c>
      <c r="L89" s="53"/>
      <c r="M89" s="107"/>
      <c r="N89" s="108"/>
      <c r="O89" s="54"/>
      <c r="P89" s="54"/>
      <c r="Q89" s="54"/>
      <c r="R89" s="105"/>
      <c r="S89" s="123"/>
      <c r="T89" s="75">
        <f t="shared" si="21"/>
        <v>0</v>
      </c>
      <c r="U89" s="124">
        <f t="shared" si="22"/>
        <v>4.16667</v>
      </c>
    </row>
    <row r="90" spans="1:21" ht="84.75" customHeight="1">
      <c r="A90" s="55" t="s">
        <v>102</v>
      </c>
      <c r="B90" s="69" t="s">
        <v>103</v>
      </c>
      <c r="C90" s="21"/>
      <c r="D90" s="22"/>
      <c r="E90" s="18">
        <v>8.33333</v>
      </c>
      <c r="F90" s="22"/>
      <c r="G90" s="64"/>
      <c r="H90" s="65"/>
      <c r="I90" s="22"/>
      <c r="J90" s="111"/>
      <c r="K90" s="75">
        <f t="shared" si="20"/>
        <v>8.33333</v>
      </c>
      <c r="L90" s="53"/>
      <c r="M90" s="107"/>
      <c r="N90" s="108"/>
      <c r="O90" s="54"/>
      <c r="P90" s="54"/>
      <c r="Q90" s="54"/>
      <c r="R90" s="105"/>
      <c r="S90" s="123"/>
      <c r="T90" s="75">
        <f t="shared" si="21"/>
        <v>0</v>
      </c>
      <c r="U90" s="124">
        <f t="shared" si="22"/>
        <v>8.33333</v>
      </c>
    </row>
    <row r="91" spans="1:21" ht="96" customHeight="1">
      <c r="A91" s="55" t="s">
        <v>104</v>
      </c>
      <c r="B91" s="69" t="s">
        <v>105</v>
      </c>
      <c r="C91" s="21"/>
      <c r="D91" s="22"/>
      <c r="E91" s="18">
        <v>24</v>
      </c>
      <c r="F91" s="22"/>
      <c r="G91" s="64"/>
      <c r="H91" s="65"/>
      <c r="I91" s="22"/>
      <c r="J91" s="111"/>
      <c r="K91" s="75">
        <f t="shared" si="20"/>
        <v>24</v>
      </c>
      <c r="L91" s="53"/>
      <c r="M91" s="107"/>
      <c r="N91" s="108"/>
      <c r="O91" s="54"/>
      <c r="P91" s="54"/>
      <c r="Q91" s="54"/>
      <c r="R91" s="105"/>
      <c r="S91" s="123"/>
      <c r="T91" s="75">
        <f t="shared" si="21"/>
        <v>0</v>
      </c>
      <c r="U91" s="124">
        <f t="shared" si="22"/>
        <v>24</v>
      </c>
    </row>
    <row r="92" spans="1:21" ht="78" customHeight="1">
      <c r="A92" s="55" t="s">
        <v>106</v>
      </c>
      <c r="B92" s="69" t="s">
        <v>107</v>
      </c>
      <c r="C92" s="21"/>
      <c r="D92" s="22"/>
      <c r="E92" s="18">
        <v>24</v>
      </c>
      <c r="F92" s="22"/>
      <c r="G92" s="64"/>
      <c r="H92" s="65"/>
      <c r="I92" s="22"/>
      <c r="J92" s="111"/>
      <c r="K92" s="75">
        <f t="shared" si="20"/>
        <v>24</v>
      </c>
      <c r="L92" s="53"/>
      <c r="M92" s="107"/>
      <c r="N92" s="108"/>
      <c r="O92" s="54"/>
      <c r="P92" s="54"/>
      <c r="Q92" s="54"/>
      <c r="R92" s="105"/>
      <c r="S92" s="123"/>
      <c r="T92" s="75">
        <f t="shared" si="21"/>
        <v>0</v>
      </c>
      <c r="U92" s="124">
        <f t="shared" si="22"/>
        <v>24</v>
      </c>
    </row>
    <row r="93" spans="1:21" ht="81" customHeight="1">
      <c r="A93" s="55" t="s">
        <v>108</v>
      </c>
      <c r="B93" s="69" t="s">
        <v>109</v>
      </c>
      <c r="C93" s="21"/>
      <c r="D93" s="22"/>
      <c r="E93" s="18">
        <v>24</v>
      </c>
      <c r="F93" s="22"/>
      <c r="G93" s="64"/>
      <c r="H93" s="65"/>
      <c r="I93" s="22"/>
      <c r="J93" s="111"/>
      <c r="K93" s="75">
        <f t="shared" si="20"/>
        <v>24</v>
      </c>
      <c r="L93" s="53"/>
      <c r="M93" s="107"/>
      <c r="N93" s="108"/>
      <c r="O93" s="54"/>
      <c r="P93" s="54"/>
      <c r="Q93" s="54"/>
      <c r="R93" s="105"/>
      <c r="S93" s="123"/>
      <c r="T93" s="75">
        <f t="shared" si="21"/>
        <v>0</v>
      </c>
      <c r="U93" s="124">
        <f t="shared" si="22"/>
        <v>24</v>
      </c>
    </row>
    <row r="94" spans="1:21" ht="51">
      <c r="A94" s="127" t="s">
        <v>110</v>
      </c>
      <c r="B94" s="5" t="s">
        <v>111</v>
      </c>
      <c r="C94" s="29">
        <f aca="true" t="shared" si="23" ref="C94:J94">C95</f>
        <v>759.8</v>
      </c>
      <c r="D94" s="113">
        <f t="shared" si="23"/>
        <v>1335</v>
      </c>
      <c r="E94" s="113">
        <f t="shared" si="23"/>
        <v>994.1</v>
      </c>
      <c r="F94" s="113">
        <f t="shared" si="23"/>
        <v>0</v>
      </c>
      <c r="G94" s="113">
        <f t="shared" si="23"/>
        <v>0</v>
      </c>
      <c r="H94" s="113">
        <f t="shared" si="23"/>
        <v>0</v>
      </c>
      <c r="I94" s="113">
        <f t="shared" si="23"/>
        <v>0</v>
      </c>
      <c r="J94" s="171">
        <f t="shared" si="23"/>
        <v>0</v>
      </c>
      <c r="K94" s="70">
        <f t="shared" si="20"/>
        <v>3088.9</v>
      </c>
      <c r="L94" s="6">
        <f aca="true" t="shared" si="24" ref="L94:S94">L95</f>
        <v>759.71241</v>
      </c>
      <c r="M94" s="6">
        <f t="shared" si="24"/>
        <v>1334.77246</v>
      </c>
      <c r="N94" s="6">
        <f t="shared" si="24"/>
        <v>989.35633</v>
      </c>
      <c r="O94" s="6">
        <f t="shared" si="24"/>
        <v>0</v>
      </c>
      <c r="P94" s="6">
        <f t="shared" si="24"/>
        <v>0</v>
      </c>
      <c r="Q94" s="6">
        <f t="shared" si="24"/>
        <v>0</v>
      </c>
      <c r="R94" s="6">
        <f t="shared" si="24"/>
        <v>0</v>
      </c>
      <c r="S94" s="29">
        <f t="shared" si="24"/>
        <v>0</v>
      </c>
      <c r="T94" s="70">
        <f t="shared" si="21"/>
        <v>3083.8412</v>
      </c>
      <c r="U94" s="113">
        <f t="shared" si="22"/>
        <v>5.058800000000247</v>
      </c>
    </row>
    <row r="95" spans="1:21" ht="45.75" customHeight="1">
      <c r="A95" s="128" t="s">
        <v>112</v>
      </c>
      <c r="B95" s="129" t="s">
        <v>113</v>
      </c>
      <c r="C95" s="130">
        <f>777.5-14.2-3.5</f>
        <v>759.8</v>
      </c>
      <c r="D95" s="130">
        <f>1366-24.9-6.1</f>
        <v>1335</v>
      </c>
      <c r="E95" s="130">
        <f>430.7+563.3+0.1</f>
        <v>994.1</v>
      </c>
      <c r="F95" s="131"/>
      <c r="G95" s="131"/>
      <c r="H95" s="131"/>
      <c r="I95" s="131"/>
      <c r="J95" s="172"/>
      <c r="K95" s="173">
        <f t="shared" si="20"/>
        <v>3088.9</v>
      </c>
      <c r="L95" s="174">
        <v>759.71241</v>
      </c>
      <c r="M95" s="175">
        <v>1334.77246</v>
      </c>
      <c r="N95" s="174">
        <v>989.35633</v>
      </c>
      <c r="O95" s="34"/>
      <c r="P95" s="34"/>
      <c r="Q95" s="34"/>
      <c r="R95" s="85"/>
      <c r="S95" s="125"/>
      <c r="T95" s="97">
        <f t="shared" si="21"/>
        <v>3083.8412</v>
      </c>
      <c r="U95" s="126">
        <f t="shared" si="22"/>
        <v>5.058800000000247</v>
      </c>
    </row>
    <row r="96" spans="1:21" ht="30.75" customHeight="1">
      <c r="A96" s="132" t="s">
        <v>114</v>
      </c>
      <c r="B96" s="133" t="s">
        <v>115</v>
      </c>
      <c r="C96" s="29">
        <f aca="true" t="shared" si="25" ref="C96:S96">C97+C99</f>
        <v>3399.21005</v>
      </c>
      <c r="D96" s="29">
        <f t="shared" si="25"/>
        <v>7903.58995</v>
      </c>
      <c r="E96" s="29">
        <f t="shared" si="25"/>
        <v>2901</v>
      </c>
      <c r="F96" s="29">
        <f t="shared" si="25"/>
        <v>0</v>
      </c>
      <c r="G96" s="29">
        <f t="shared" si="25"/>
        <v>0</v>
      </c>
      <c r="H96" s="29">
        <f t="shared" si="25"/>
        <v>0</v>
      </c>
      <c r="I96" s="29">
        <f t="shared" si="25"/>
        <v>0</v>
      </c>
      <c r="J96" s="29">
        <f t="shared" si="25"/>
        <v>0</v>
      </c>
      <c r="K96" s="70">
        <f t="shared" si="25"/>
        <v>14203.8</v>
      </c>
      <c r="L96" s="176">
        <f t="shared" si="25"/>
        <v>3399.2100500000006</v>
      </c>
      <c r="M96" s="176">
        <f t="shared" si="25"/>
        <v>903.58995</v>
      </c>
      <c r="N96" s="176">
        <f t="shared" si="25"/>
        <v>2900.6</v>
      </c>
      <c r="O96" s="176">
        <f t="shared" si="25"/>
        <v>0</v>
      </c>
      <c r="P96" s="176">
        <f t="shared" si="25"/>
        <v>0</v>
      </c>
      <c r="Q96" s="176">
        <f t="shared" si="25"/>
        <v>0</v>
      </c>
      <c r="R96" s="176">
        <f t="shared" si="25"/>
        <v>0</v>
      </c>
      <c r="S96" s="176">
        <f t="shared" si="25"/>
        <v>0</v>
      </c>
      <c r="T96" s="70">
        <f t="shared" si="21"/>
        <v>7203.4000000000015</v>
      </c>
      <c r="U96" s="113">
        <f t="shared" si="22"/>
        <v>7000.399999999998</v>
      </c>
    </row>
    <row r="97" spans="1:21" ht="30" customHeight="1">
      <c r="A97" s="132" t="s">
        <v>116</v>
      </c>
      <c r="B97" s="133" t="s">
        <v>117</v>
      </c>
      <c r="C97" s="6">
        <f aca="true" t="shared" si="26" ref="C97:S97">C98</f>
        <v>3399.21005</v>
      </c>
      <c r="D97" s="6">
        <f t="shared" si="26"/>
        <v>903.58995</v>
      </c>
      <c r="E97" s="6">
        <f t="shared" si="26"/>
        <v>275</v>
      </c>
      <c r="F97" s="6">
        <f t="shared" si="26"/>
        <v>0</v>
      </c>
      <c r="G97" s="6">
        <f t="shared" si="26"/>
        <v>0</v>
      </c>
      <c r="H97" s="6">
        <f t="shared" si="26"/>
        <v>0</v>
      </c>
      <c r="I97" s="6">
        <f t="shared" si="26"/>
        <v>0</v>
      </c>
      <c r="J97" s="6">
        <f t="shared" si="26"/>
        <v>0</v>
      </c>
      <c r="K97" s="70">
        <f t="shared" si="26"/>
        <v>4577.8</v>
      </c>
      <c r="L97" s="6">
        <f t="shared" si="26"/>
        <v>3399.2100500000006</v>
      </c>
      <c r="M97" s="6">
        <f t="shared" si="26"/>
        <v>903.58995</v>
      </c>
      <c r="N97" s="6">
        <f t="shared" si="26"/>
        <v>274.59999999999997</v>
      </c>
      <c r="O97" s="6">
        <f t="shared" si="26"/>
        <v>0</v>
      </c>
      <c r="P97" s="6">
        <f t="shared" si="26"/>
        <v>0</v>
      </c>
      <c r="Q97" s="6">
        <f t="shared" si="26"/>
        <v>0</v>
      </c>
      <c r="R97" s="6">
        <f t="shared" si="26"/>
        <v>0</v>
      </c>
      <c r="S97" s="29">
        <f t="shared" si="26"/>
        <v>0</v>
      </c>
      <c r="T97" s="70">
        <f t="shared" si="21"/>
        <v>4577.4000000000015</v>
      </c>
      <c r="U97" s="113">
        <f t="shared" si="22"/>
        <v>0.3999999999987267</v>
      </c>
    </row>
    <row r="98" spans="1:21" ht="63.75">
      <c r="A98" s="134" t="s">
        <v>118</v>
      </c>
      <c r="B98" s="135" t="s">
        <v>119</v>
      </c>
      <c r="C98" s="130">
        <v>3399.21005</v>
      </c>
      <c r="D98" s="130">
        <v>903.58995</v>
      </c>
      <c r="E98" s="130">
        <v>275</v>
      </c>
      <c r="F98" s="136"/>
      <c r="G98" s="137"/>
      <c r="H98" s="136"/>
      <c r="I98" s="137"/>
      <c r="J98" s="177"/>
      <c r="K98" s="178">
        <f>SUM(C98:J98)</f>
        <v>4577.8</v>
      </c>
      <c r="L98" s="174">
        <f>202.73175+152.45725+118.07454+98.02415+141.04932+30.27015+172.7334+25.24864+18.04535+1282.89613+202.51994+65.34943+427.48181+5.89113+57.42681+174.00028+225.00997</f>
        <v>3399.2100500000006</v>
      </c>
      <c r="M98" s="175">
        <f>53.89087+40.52672+31.38699+26.05712+37.49423+8.04652+45.9166+6.71168+4.79688+341.02396+53.83456+17.37142+113.63472+1.56597+15.2654+46.25337+59.81294</f>
        <v>903.58995</v>
      </c>
      <c r="N98" s="174">
        <f>16.37738+12.31603+9.53847+7.91873+11.39445+2.44533+13.954+2.03968+1.45777+103.63681+16.36026+5.27915+34.53347+0.4759+4.63913+14.05635+18.17709</f>
        <v>274.59999999999997</v>
      </c>
      <c r="O98" s="34"/>
      <c r="P98" s="34"/>
      <c r="Q98" s="34"/>
      <c r="R98" s="85"/>
      <c r="S98" s="125"/>
      <c r="T98" s="97">
        <f t="shared" si="21"/>
        <v>4577.4000000000015</v>
      </c>
      <c r="U98" s="126">
        <f t="shared" si="22"/>
        <v>0.3999999999987267</v>
      </c>
    </row>
    <row r="99" spans="1:21" ht="33" customHeight="1">
      <c r="A99" s="4" t="s">
        <v>120</v>
      </c>
      <c r="B99" s="138" t="s">
        <v>121</v>
      </c>
      <c r="C99" s="6">
        <f aca="true" t="shared" si="27" ref="C99:J99">C100+C101+C102</f>
        <v>0</v>
      </c>
      <c r="D99" s="6">
        <f t="shared" si="27"/>
        <v>7000</v>
      </c>
      <c r="E99" s="6">
        <f t="shared" si="27"/>
        <v>2626</v>
      </c>
      <c r="F99" s="6">
        <f t="shared" si="27"/>
        <v>0</v>
      </c>
      <c r="G99" s="6">
        <f t="shared" si="27"/>
        <v>0</v>
      </c>
      <c r="H99" s="6">
        <f t="shared" si="27"/>
        <v>0</v>
      </c>
      <c r="I99" s="6">
        <f t="shared" si="27"/>
        <v>0</v>
      </c>
      <c r="J99" s="6">
        <f t="shared" si="27"/>
        <v>0</v>
      </c>
      <c r="K99" s="70">
        <f aca="true" t="shared" si="28" ref="K99:S99">K100+K101+K102</f>
        <v>9626</v>
      </c>
      <c r="L99" s="6">
        <f t="shared" si="28"/>
        <v>0</v>
      </c>
      <c r="M99" s="6">
        <f t="shared" si="28"/>
        <v>0</v>
      </c>
      <c r="N99" s="6">
        <f t="shared" si="28"/>
        <v>2626</v>
      </c>
      <c r="O99" s="6">
        <f t="shared" si="28"/>
        <v>0</v>
      </c>
      <c r="P99" s="6">
        <f t="shared" si="28"/>
        <v>0</v>
      </c>
      <c r="Q99" s="6">
        <f t="shared" si="28"/>
        <v>0</v>
      </c>
      <c r="R99" s="6">
        <f t="shared" si="28"/>
        <v>0</v>
      </c>
      <c r="S99" s="6">
        <f t="shared" si="28"/>
        <v>0</v>
      </c>
      <c r="T99" s="70">
        <f t="shared" si="21"/>
        <v>2626</v>
      </c>
      <c r="U99" s="113">
        <f t="shared" si="22"/>
        <v>7000</v>
      </c>
    </row>
    <row r="100" spans="1:21" ht="89.25">
      <c r="A100" s="139" t="s">
        <v>122</v>
      </c>
      <c r="B100" s="140" t="s">
        <v>123</v>
      </c>
      <c r="C100" s="141"/>
      <c r="D100" s="142"/>
      <c r="E100" s="142">
        <f>1526</f>
        <v>1526</v>
      </c>
      <c r="F100" s="137"/>
      <c r="G100" s="137"/>
      <c r="H100" s="137"/>
      <c r="I100" s="137"/>
      <c r="J100" s="179"/>
      <c r="K100" s="180">
        <f>SUM(C100:J100)</f>
        <v>1526</v>
      </c>
      <c r="L100" s="44"/>
      <c r="M100" s="98"/>
      <c r="N100" s="99">
        <f>180.37+23.87+263.465+361.965+118.69+283.2+257.1+37.34</f>
        <v>1525.9999999999998</v>
      </c>
      <c r="O100" s="45"/>
      <c r="P100" s="45"/>
      <c r="Q100" s="45"/>
      <c r="R100" s="95"/>
      <c r="S100" s="125"/>
      <c r="T100" s="97">
        <f t="shared" si="21"/>
        <v>1525.9999999999998</v>
      </c>
      <c r="U100" s="126">
        <f t="shared" si="22"/>
        <v>0</v>
      </c>
    </row>
    <row r="101" spans="1:21" ht="63.75">
      <c r="A101" s="143" t="s">
        <v>124</v>
      </c>
      <c r="B101" s="51" t="s">
        <v>125</v>
      </c>
      <c r="C101" s="144"/>
      <c r="D101" s="145"/>
      <c r="E101" s="145">
        <f>1100</f>
        <v>1100</v>
      </c>
      <c r="F101" s="146"/>
      <c r="G101" s="146"/>
      <c r="H101" s="146"/>
      <c r="I101" s="146"/>
      <c r="J101" s="181"/>
      <c r="K101" s="75">
        <f>SUM(C101:J101)</f>
        <v>1100</v>
      </c>
      <c r="L101" s="27"/>
      <c r="M101" s="92"/>
      <c r="N101" s="93">
        <f>588.8+511.2</f>
        <v>1100</v>
      </c>
      <c r="O101" s="26"/>
      <c r="P101" s="26"/>
      <c r="Q101" s="26"/>
      <c r="R101" s="103"/>
      <c r="S101" s="123"/>
      <c r="T101" s="75">
        <f t="shared" si="21"/>
        <v>1100</v>
      </c>
      <c r="U101" s="124">
        <f t="shared" si="22"/>
        <v>0</v>
      </c>
    </row>
    <row r="102" spans="1:21" ht="72" customHeight="1">
      <c r="A102" s="143" t="s">
        <v>126</v>
      </c>
      <c r="B102" s="51" t="s">
        <v>127</v>
      </c>
      <c r="C102" s="144"/>
      <c r="D102" s="145">
        <v>7000</v>
      </c>
      <c r="E102" s="145"/>
      <c r="F102" s="146"/>
      <c r="G102" s="146"/>
      <c r="H102" s="146"/>
      <c r="I102" s="146"/>
      <c r="J102" s="181"/>
      <c r="K102" s="75">
        <f>SUM(C102:J102)</f>
        <v>7000</v>
      </c>
      <c r="L102" s="27"/>
      <c r="M102" s="92"/>
      <c r="N102" s="93"/>
      <c r="O102" s="26"/>
      <c r="P102" s="26"/>
      <c r="Q102" s="26"/>
      <c r="R102" s="103"/>
      <c r="S102" s="123"/>
      <c r="T102" s="75">
        <f t="shared" si="21"/>
        <v>0</v>
      </c>
      <c r="U102" s="124">
        <f t="shared" si="22"/>
        <v>7000</v>
      </c>
    </row>
    <row r="103" spans="1:21" ht="30.75" customHeight="1">
      <c r="A103" s="132" t="s">
        <v>128</v>
      </c>
      <c r="B103" s="138" t="s">
        <v>129</v>
      </c>
      <c r="C103" s="29">
        <f aca="true" t="shared" si="29" ref="C103:S103">C104+C105+C106</f>
        <v>0</v>
      </c>
      <c r="D103" s="29">
        <f t="shared" si="29"/>
        <v>3125.8</v>
      </c>
      <c r="E103" s="29">
        <f t="shared" si="29"/>
        <v>419</v>
      </c>
      <c r="F103" s="29">
        <f t="shared" si="29"/>
        <v>0</v>
      </c>
      <c r="G103" s="29">
        <f t="shared" si="29"/>
        <v>0</v>
      </c>
      <c r="H103" s="29">
        <f t="shared" si="29"/>
        <v>0</v>
      </c>
      <c r="I103" s="29">
        <f t="shared" si="29"/>
        <v>0</v>
      </c>
      <c r="J103" s="29">
        <f t="shared" si="29"/>
        <v>0</v>
      </c>
      <c r="K103" s="70">
        <f t="shared" si="29"/>
        <v>3544.8</v>
      </c>
      <c r="L103" s="6">
        <f t="shared" si="29"/>
        <v>0</v>
      </c>
      <c r="M103" s="6">
        <f t="shared" si="29"/>
        <v>0</v>
      </c>
      <c r="N103" s="6">
        <f t="shared" si="29"/>
        <v>205.486</v>
      </c>
      <c r="O103" s="6">
        <f t="shared" si="29"/>
        <v>0</v>
      </c>
      <c r="P103" s="6">
        <f t="shared" si="29"/>
        <v>0</v>
      </c>
      <c r="Q103" s="6">
        <f t="shared" si="29"/>
        <v>0</v>
      </c>
      <c r="R103" s="6">
        <f t="shared" si="29"/>
        <v>0</v>
      </c>
      <c r="S103" s="6">
        <f t="shared" si="29"/>
        <v>0</v>
      </c>
      <c r="T103" s="70">
        <f t="shared" si="21"/>
        <v>205.486</v>
      </c>
      <c r="U103" s="113">
        <f t="shared" si="22"/>
        <v>3339.3140000000003</v>
      </c>
    </row>
    <row r="104" spans="1:21" ht="89.25">
      <c r="A104" s="147" t="s">
        <v>130</v>
      </c>
      <c r="B104" s="148" t="s">
        <v>131</v>
      </c>
      <c r="C104" s="38"/>
      <c r="D104" s="10">
        <f>4695.3-1569.5</f>
        <v>3125.8</v>
      </c>
      <c r="E104" s="10">
        <f>319-119.483</f>
        <v>199.517</v>
      </c>
      <c r="F104" s="38"/>
      <c r="G104" s="38"/>
      <c r="H104" s="38"/>
      <c r="I104" s="38"/>
      <c r="J104" s="182"/>
      <c r="K104" s="87">
        <f>SUM(C104:J104)</f>
        <v>3325.317</v>
      </c>
      <c r="L104" s="33"/>
      <c r="M104" s="88"/>
      <c r="N104" s="89"/>
      <c r="O104" s="34"/>
      <c r="P104" s="34"/>
      <c r="Q104" s="34"/>
      <c r="R104" s="85"/>
      <c r="S104" s="119"/>
      <c r="T104" s="71">
        <f t="shared" si="21"/>
        <v>0</v>
      </c>
      <c r="U104" s="120">
        <f t="shared" si="22"/>
        <v>3325.317</v>
      </c>
    </row>
    <row r="105" spans="1:21" ht="38.25">
      <c r="A105" s="147" t="s">
        <v>132</v>
      </c>
      <c r="B105" s="47" t="s">
        <v>133</v>
      </c>
      <c r="C105" s="22"/>
      <c r="D105" s="149"/>
      <c r="E105" s="18">
        <v>119.483</v>
      </c>
      <c r="F105" s="22"/>
      <c r="G105" s="22"/>
      <c r="H105" s="22"/>
      <c r="I105" s="22"/>
      <c r="J105" s="111"/>
      <c r="K105" s="75">
        <f>SUM(C105:J105)</f>
        <v>119.483</v>
      </c>
      <c r="L105" s="27"/>
      <c r="M105" s="92"/>
      <c r="N105" s="93">
        <v>119.246</v>
      </c>
      <c r="O105" s="26"/>
      <c r="P105" s="26"/>
      <c r="Q105" s="26"/>
      <c r="R105" s="103"/>
      <c r="S105" s="123"/>
      <c r="T105" s="75">
        <f t="shared" si="21"/>
        <v>119.246</v>
      </c>
      <c r="U105" s="124">
        <f t="shared" si="22"/>
        <v>0.23700000000000898</v>
      </c>
    </row>
    <row r="106" spans="1:21" ht="38.25">
      <c r="A106" s="147" t="s">
        <v>134</v>
      </c>
      <c r="B106" s="47" t="s">
        <v>135</v>
      </c>
      <c r="C106" s="22"/>
      <c r="D106" s="149"/>
      <c r="E106" s="18">
        <v>100</v>
      </c>
      <c r="F106" s="22"/>
      <c r="G106" s="22"/>
      <c r="H106" s="22"/>
      <c r="I106" s="22"/>
      <c r="J106" s="111"/>
      <c r="K106" s="75">
        <f>SUM(C106:J106)</f>
        <v>100</v>
      </c>
      <c r="L106" s="27"/>
      <c r="M106" s="92"/>
      <c r="N106" s="93">
        <v>86.24</v>
      </c>
      <c r="O106" s="26"/>
      <c r="P106" s="26"/>
      <c r="Q106" s="26"/>
      <c r="R106" s="103"/>
      <c r="S106" s="123"/>
      <c r="T106" s="75">
        <f t="shared" si="21"/>
        <v>86.24</v>
      </c>
      <c r="U106" s="124">
        <f t="shared" si="22"/>
        <v>13.760000000000005</v>
      </c>
    </row>
    <row r="107" spans="1:21" ht="18.75" customHeight="1">
      <c r="A107" s="132" t="s">
        <v>136</v>
      </c>
      <c r="B107" s="133" t="s">
        <v>137</v>
      </c>
      <c r="C107" s="6">
        <f aca="true" t="shared" si="30" ref="C107:S107">C108</f>
        <v>0</v>
      </c>
      <c r="D107" s="6">
        <f t="shared" si="30"/>
        <v>0</v>
      </c>
      <c r="E107" s="6">
        <f t="shared" si="30"/>
        <v>635</v>
      </c>
      <c r="F107" s="6">
        <f t="shared" si="30"/>
        <v>0</v>
      </c>
      <c r="G107" s="6">
        <f t="shared" si="30"/>
        <v>0</v>
      </c>
      <c r="H107" s="6">
        <f t="shared" si="30"/>
        <v>0</v>
      </c>
      <c r="I107" s="6">
        <f t="shared" si="30"/>
        <v>0</v>
      </c>
      <c r="J107" s="6">
        <f t="shared" si="30"/>
        <v>0</v>
      </c>
      <c r="K107" s="70">
        <f t="shared" si="30"/>
        <v>635</v>
      </c>
      <c r="L107" s="6">
        <f t="shared" si="30"/>
        <v>0</v>
      </c>
      <c r="M107" s="6">
        <f t="shared" si="30"/>
        <v>0</v>
      </c>
      <c r="N107" s="6">
        <f t="shared" si="30"/>
        <v>634.434</v>
      </c>
      <c r="O107" s="6">
        <f t="shared" si="30"/>
        <v>0</v>
      </c>
      <c r="P107" s="6">
        <f t="shared" si="30"/>
        <v>0</v>
      </c>
      <c r="Q107" s="6">
        <f t="shared" si="30"/>
        <v>0</v>
      </c>
      <c r="R107" s="6">
        <f t="shared" si="30"/>
        <v>0</v>
      </c>
      <c r="S107" s="29">
        <f t="shared" si="30"/>
        <v>0</v>
      </c>
      <c r="T107" s="70">
        <f t="shared" si="21"/>
        <v>634.434</v>
      </c>
      <c r="U107" s="113">
        <f t="shared" si="22"/>
        <v>0.5660000000000309</v>
      </c>
    </row>
    <row r="108" spans="1:21" ht="38.25">
      <c r="A108" s="150" t="s">
        <v>138</v>
      </c>
      <c r="B108" s="151" t="s">
        <v>139</v>
      </c>
      <c r="C108" s="60"/>
      <c r="D108" s="14"/>
      <c r="E108" s="60">
        <v>635</v>
      </c>
      <c r="F108" s="60"/>
      <c r="G108" s="60"/>
      <c r="H108" s="60"/>
      <c r="I108" s="60"/>
      <c r="J108" s="110"/>
      <c r="K108" s="73">
        <f aca="true" t="shared" si="31" ref="K108:K124">SUM(C108:J108)</f>
        <v>635</v>
      </c>
      <c r="L108" s="33"/>
      <c r="M108" s="88"/>
      <c r="N108" s="89">
        <f>404.203+230.231</f>
        <v>634.434</v>
      </c>
      <c r="O108" s="34"/>
      <c r="P108" s="34"/>
      <c r="Q108" s="34"/>
      <c r="R108" s="85"/>
      <c r="S108" s="125"/>
      <c r="T108" s="97">
        <f t="shared" si="21"/>
        <v>634.434</v>
      </c>
      <c r="U108" s="126">
        <f t="shared" si="22"/>
        <v>0.5660000000000309</v>
      </c>
    </row>
    <row r="109" spans="1:21" ht="18" customHeight="1">
      <c r="A109" s="152" t="s">
        <v>140</v>
      </c>
      <c r="B109" s="153" t="s">
        <v>141</v>
      </c>
      <c r="C109" s="154">
        <f aca="true" t="shared" si="32" ref="C109:J109">C110+C115+C112+C117+C123</f>
        <v>0</v>
      </c>
      <c r="D109" s="154">
        <f t="shared" si="32"/>
        <v>0</v>
      </c>
      <c r="E109" s="154">
        <f t="shared" si="32"/>
        <v>1780.1472400000002</v>
      </c>
      <c r="F109" s="154">
        <f t="shared" si="32"/>
        <v>0</v>
      </c>
      <c r="G109" s="154">
        <f t="shared" si="32"/>
        <v>0</v>
      </c>
      <c r="H109" s="154">
        <f t="shared" si="32"/>
        <v>0</v>
      </c>
      <c r="I109" s="154">
        <f t="shared" si="32"/>
        <v>0</v>
      </c>
      <c r="J109" s="154">
        <f t="shared" si="32"/>
        <v>0</v>
      </c>
      <c r="K109" s="183">
        <f t="shared" si="31"/>
        <v>1780.1472400000002</v>
      </c>
      <c r="L109" s="154">
        <f aca="true" t="shared" si="33" ref="L109:S109">L110+L115+L112+L117+L123</f>
        <v>0</v>
      </c>
      <c r="M109" s="154">
        <f t="shared" si="33"/>
        <v>0</v>
      </c>
      <c r="N109" s="154">
        <f t="shared" si="33"/>
        <v>584.231</v>
      </c>
      <c r="O109" s="154">
        <f t="shared" si="33"/>
        <v>0</v>
      </c>
      <c r="P109" s="154">
        <f t="shared" si="33"/>
        <v>0</v>
      </c>
      <c r="Q109" s="154">
        <f t="shared" si="33"/>
        <v>0</v>
      </c>
      <c r="R109" s="154">
        <f t="shared" si="33"/>
        <v>0</v>
      </c>
      <c r="S109" s="154">
        <f t="shared" si="33"/>
        <v>0</v>
      </c>
      <c r="T109" s="183">
        <f t="shared" si="21"/>
        <v>584.231</v>
      </c>
      <c r="U109" s="188">
        <f t="shared" si="22"/>
        <v>1195.9162400000002</v>
      </c>
    </row>
    <row r="110" spans="1:21" ht="21" customHeight="1">
      <c r="A110" s="4" t="s">
        <v>142</v>
      </c>
      <c r="B110" s="5" t="s">
        <v>143</v>
      </c>
      <c r="C110" s="6">
        <f aca="true" t="shared" si="34" ref="C110:J110">C111</f>
        <v>0</v>
      </c>
      <c r="D110" s="6">
        <f t="shared" si="34"/>
        <v>0</v>
      </c>
      <c r="E110" s="6">
        <f t="shared" si="34"/>
        <v>130.12624</v>
      </c>
      <c r="F110" s="6">
        <f t="shared" si="34"/>
        <v>0</v>
      </c>
      <c r="G110" s="6">
        <f t="shared" si="34"/>
        <v>0</v>
      </c>
      <c r="H110" s="6">
        <f t="shared" si="34"/>
        <v>0</v>
      </c>
      <c r="I110" s="6">
        <f t="shared" si="34"/>
        <v>0</v>
      </c>
      <c r="J110" s="6">
        <f t="shared" si="34"/>
        <v>0</v>
      </c>
      <c r="K110" s="70">
        <f t="shared" si="31"/>
        <v>130.12624</v>
      </c>
      <c r="L110" s="6">
        <f aca="true" t="shared" si="35" ref="L110:S110">L111</f>
        <v>0</v>
      </c>
      <c r="M110" s="6">
        <f t="shared" si="35"/>
        <v>0</v>
      </c>
      <c r="N110" s="6">
        <f t="shared" si="35"/>
        <v>130.126</v>
      </c>
      <c r="O110" s="6">
        <f t="shared" si="35"/>
        <v>0</v>
      </c>
      <c r="P110" s="6">
        <f t="shared" si="35"/>
        <v>0</v>
      </c>
      <c r="Q110" s="6">
        <f t="shared" si="35"/>
        <v>0</v>
      </c>
      <c r="R110" s="6">
        <f t="shared" si="35"/>
        <v>0</v>
      </c>
      <c r="S110" s="6">
        <f t="shared" si="35"/>
        <v>0</v>
      </c>
      <c r="T110" s="70">
        <f t="shared" si="21"/>
        <v>130.126</v>
      </c>
      <c r="U110" s="113">
        <f t="shared" si="22"/>
        <v>0.00023999999999091415</v>
      </c>
    </row>
    <row r="111" spans="1:21" ht="63.75">
      <c r="A111" s="155" t="s">
        <v>144</v>
      </c>
      <c r="B111" s="47" t="s">
        <v>145</v>
      </c>
      <c r="C111" s="21"/>
      <c r="D111" s="22"/>
      <c r="E111" s="22">
        <v>130.12624</v>
      </c>
      <c r="F111" s="22"/>
      <c r="G111" s="22"/>
      <c r="H111" s="22"/>
      <c r="I111" s="22"/>
      <c r="J111" s="111"/>
      <c r="K111" s="75">
        <f t="shared" si="31"/>
        <v>130.12624</v>
      </c>
      <c r="L111" s="22"/>
      <c r="M111" s="184"/>
      <c r="N111" s="102">
        <v>130.126</v>
      </c>
      <c r="O111" s="184"/>
      <c r="P111" s="22"/>
      <c r="Q111" s="22"/>
      <c r="R111" s="22"/>
      <c r="S111" s="111"/>
      <c r="T111" s="79">
        <f t="shared" si="21"/>
        <v>130.126</v>
      </c>
      <c r="U111" s="122">
        <f t="shared" si="22"/>
        <v>0.00023999999999091415</v>
      </c>
    </row>
    <row r="112" spans="1:21" ht="12.75">
      <c r="A112" s="4" t="s">
        <v>146</v>
      </c>
      <c r="B112" s="5" t="s">
        <v>147</v>
      </c>
      <c r="C112" s="6">
        <f aca="true" t="shared" si="36" ref="C112:J112">C113+C114</f>
        <v>0</v>
      </c>
      <c r="D112" s="6">
        <f t="shared" si="36"/>
        <v>0</v>
      </c>
      <c r="E112" s="6">
        <f t="shared" si="36"/>
        <v>137.56</v>
      </c>
      <c r="F112" s="6">
        <f t="shared" si="36"/>
        <v>0</v>
      </c>
      <c r="G112" s="6">
        <f t="shared" si="36"/>
        <v>0</v>
      </c>
      <c r="H112" s="6">
        <f t="shared" si="36"/>
        <v>0</v>
      </c>
      <c r="I112" s="6">
        <f t="shared" si="36"/>
        <v>0</v>
      </c>
      <c r="J112" s="6">
        <f t="shared" si="36"/>
        <v>0</v>
      </c>
      <c r="K112" s="70">
        <f t="shared" si="31"/>
        <v>137.56</v>
      </c>
      <c r="L112" s="6">
        <f aca="true" t="shared" si="37" ref="L112:S112">L113+L114</f>
        <v>0</v>
      </c>
      <c r="M112" s="6">
        <f t="shared" si="37"/>
        <v>0</v>
      </c>
      <c r="N112" s="6">
        <f t="shared" si="37"/>
        <v>137.16</v>
      </c>
      <c r="O112" s="6">
        <f t="shared" si="37"/>
        <v>0</v>
      </c>
      <c r="P112" s="6">
        <f t="shared" si="37"/>
        <v>0</v>
      </c>
      <c r="Q112" s="6">
        <f t="shared" si="37"/>
        <v>0</v>
      </c>
      <c r="R112" s="6">
        <f t="shared" si="37"/>
        <v>0</v>
      </c>
      <c r="S112" s="6">
        <f t="shared" si="37"/>
        <v>0</v>
      </c>
      <c r="T112" s="70">
        <f t="shared" si="21"/>
        <v>137.16</v>
      </c>
      <c r="U112" s="113">
        <f t="shared" si="22"/>
        <v>0.4000000000000057</v>
      </c>
    </row>
    <row r="113" spans="1:21" ht="63.75">
      <c r="A113" s="156" t="s">
        <v>148</v>
      </c>
      <c r="B113" s="157" t="s">
        <v>149</v>
      </c>
      <c r="C113" s="158"/>
      <c r="D113" s="131"/>
      <c r="E113" s="159">
        <v>73.06</v>
      </c>
      <c r="F113" s="60"/>
      <c r="G113" s="60"/>
      <c r="H113" s="60"/>
      <c r="I113" s="60"/>
      <c r="J113" s="110"/>
      <c r="K113" s="75">
        <f t="shared" si="31"/>
        <v>73.06</v>
      </c>
      <c r="L113" s="60"/>
      <c r="M113" s="185"/>
      <c r="N113" s="186">
        <f>5.16+67.5</f>
        <v>72.66</v>
      </c>
      <c r="O113" s="185"/>
      <c r="P113" s="60"/>
      <c r="Q113" s="60"/>
      <c r="R113" s="60"/>
      <c r="S113" s="110"/>
      <c r="T113" s="75">
        <f t="shared" si="21"/>
        <v>72.66</v>
      </c>
      <c r="U113" s="124">
        <f t="shared" si="22"/>
        <v>0.4000000000000057</v>
      </c>
    </row>
    <row r="114" spans="1:21" ht="63.75">
      <c r="A114" s="155" t="s">
        <v>150</v>
      </c>
      <c r="B114" s="160" t="s">
        <v>151</v>
      </c>
      <c r="C114" s="161"/>
      <c r="D114" s="162"/>
      <c r="E114" s="163">
        <v>64.5</v>
      </c>
      <c r="F114" s="22"/>
      <c r="G114" s="22"/>
      <c r="H114" s="22"/>
      <c r="I114" s="22"/>
      <c r="J114" s="111"/>
      <c r="K114" s="75">
        <f t="shared" si="31"/>
        <v>64.5</v>
      </c>
      <c r="L114" s="22"/>
      <c r="M114" s="184"/>
      <c r="N114" s="102">
        <v>64.5</v>
      </c>
      <c r="O114" s="184"/>
      <c r="P114" s="22"/>
      <c r="Q114" s="22"/>
      <c r="R114" s="22"/>
      <c r="S114" s="111"/>
      <c r="T114" s="79">
        <f t="shared" si="21"/>
        <v>64.5</v>
      </c>
      <c r="U114" s="122">
        <f t="shared" si="22"/>
        <v>0</v>
      </c>
    </row>
    <row r="115" spans="1:21" ht="12.75">
      <c r="A115" s="4" t="s">
        <v>152</v>
      </c>
      <c r="B115" s="5" t="s">
        <v>153</v>
      </c>
      <c r="C115" s="6">
        <f aca="true" t="shared" si="38" ref="C115:J115">C116</f>
        <v>0</v>
      </c>
      <c r="D115" s="6">
        <f t="shared" si="38"/>
        <v>0</v>
      </c>
      <c r="E115" s="6">
        <f t="shared" si="38"/>
        <v>230</v>
      </c>
      <c r="F115" s="6">
        <f t="shared" si="38"/>
        <v>0</v>
      </c>
      <c r="G115" s="6">
        <f t="shared" si="38"/>
        <v>0</v>
      </c>
      <c r="H115" s="6">
        <f t="shared" si="38"/>
        <v>0</v>
      </c>
      <c r="I115" s="6">
        <f t="shared" si="38"/>
        <v>0</v>
      </c>
      <c r="J115" s="6">
        <f t="shared" si="38"/>
        <v>0</v>
      </c>
      <c r="K115" s="70">
        <f t="shared" si="31"/>
        <v>230</v>
      </c>
      <c r="L115" s="6">
        <f aca="true" t="shared" si="39" ref="L115:S115">L116</f>
        <v>0</v>
      </c>
      <c r="M115" s="6">
        <f t="shared" si="39"/>
        <v>0</v>
      </c>
      <c r="N115" s="6">
        <f t="shared" si="39"/>
        <v>209.90200000000002</v>
      </c>
      <c r="O115" s="6">
        <f t="shared" si="39"/>
        <v>0</v>
      </c>
      <c r="P115" s="6">
        <f t="shared" si="39"/>
        <v>0</v>
      </c>
      <c r="Q115" s="6">
        <f t="shared" si="39"/>
        <v>0</v>
      </c>
      <c r="R115" s="6">
        <f t="shared" si="39"/>
        <v>0</v>
      </c>
      <c r="S115" s="6">
        <f t="shared" si="39"/>
        <v>0</v>
      </c>
      <c r="T115" s="70">
        <f t="shared" si="21"/>
        <v>209.90200000000002</v>
      </c>
      <c r="U115" s="113">
        <f t="shared" si="22"/>
        <v>20.097999999999985</v>
      </c>
    </row>
    <row r="116" spans="1:21" ht="63.75">
      <c r="A116" s="156" t="s">
        <v>154</v>
      </c>
      <c r="B116" s="164" t="s">
        <v>155</v>
      </c>
      <c r="C116" s="59"/>
      <c r="D116" s="60"/>
      <c r="E116" s="60">
        <v>230</v>
      </c>
      <c r="F116" s="60"/>
      <c r="G116" s="60"/>
      <c r="H116" s="60"/>
      <c r="I116" s="60"/>
      <c r="J116" s="110"/>
      <c r="K116" s="75">
        <f t="shared" si="31"/>
        <v>230</v>
      </c>
      <c r="L116" s="60"/>
      <c r="M116" s="185"/>
      <c r="N116" s="186">
        <f>185.436+24.466</f>
        <v>209.90200000000002</v>
      </c>
      <c r="O116" s="185"/>
      <c r="P116" s="60"/>
      <c r="Q116" s="60"/>
      <c r="R116" s="60"/>
      <c r="S116" s="110"/>
      <c r="T116" s="75">
        <f aca="true" t="shared" si="40" ref="T116:T124">SUM(L116:S116)</f>
        <v>209.90200000000002</v>
      </c>
      <c r="U116" s="124">
        <f aca="true" t="shared" si="41" ref="U116:U135">K116-T116</f>
        <v>20.097999999999985</v>
      </c>
    </row>
    <row r="117" spans="1:21" ht="12.75">
      <c r="A117" s="4" t="s">
        <v>156</v>
      </c>
      <c r="B117" s="5" t="s">
        <v>157</v>
      </c>
      <c r="C117" s="6">
        <f aca="true" t="shared" si="42" ref="C117:J117">C118+C119+C120+C121+C122</f>
        <v>0</v>
      </c>
      <c r="D117" s="6">
        <f t="shared" si="42"/>
        <v>0</v>
      </c>
      <c r="E117" s="6">
        <f t="shared" si="42"/>
        <v>596.1460000000001</v>
      </c>
      <c r="F117" s="6">
        <f t="shared" si="42"/>
        <v>0</v>
      </c>
      <c r="G117" s="6">
        <f t="shared" si="42"/>
        <v>0</v>
      </c>
      <c r="H117" s="6">
        <f t="shared" si="42"/>
        <v>0</v>
      </c>
      <c r="I117" s="6">
        <f t="shared" si="42"/>
        <v>0</v>
      </c>
      <c r="J117" s="6">
        <f t="shared" si="42"/>
        <v>0</v>
      </c>
      <c r="K117" s="70">
        <f t="shared" si="31"/>
        <v>596.1460000000001</v>
      </c>
      <c r="L117" s="6">
        <f aca="true" t="shared" si="43" ref="L117:S117">L118+L119+L120+L121+L122</f>
        <v>0</v>
      </c>
      <c r="M117" s="6">
        <f t="shared" si="43"/>
        <v>0</v>
      </c>
      <c r="N117" s="6">
        <f t="shared" si="43"/>
        <v>107.043</v>
      </c>
      <c r="O117" s="6">
        <f t="shared" si="43"/>
        <v>0</v>
      </c>
      <c r="P117" s="6">
        <f t="shared" si="43"/>
        <v>0</v>
      </c>
      <c r="Q117" s="6">
        <f t="shared" si="43"/>
        <v>0</v>
      </c>
      <c r="R117" s="6">
        <f t="shared" si="43"/>
        <v>0</v>
      </c>
      <c r="S117" s="6">
        <f t="shared" si="43"/>
        <v>0</v>
      </c>
      <c r="T117" s="70">
        <f t="shared" si="40"/>
        <v>107.043</v>
      </c>
      <c r="U117" s="113">
        <f t="shared" si="41"/>
        <v>489.10300000000007</v>
      </c>
    </row>
    <row r="118" spans="1:21" ht="63.75">
      <c r="A118" s="165" t="s">
        <v>158</v>
      </c>
      <c r="B118" s="37" t="s">
        <v>159</v>
      </c>
      <c r="C118" s="166"/>
      <c r="D118" s="38"/>
      <c r="E118" s="38">
        <v>400</v>
      </c>
      <c r="F118" s="38"/>
      <c r="G118" s="38"/>
      <c r="H118" s="38"/>
      <c r="I118" s="38"/>
      <c r="J118" s="182"/>
      <c r="K118" s="79">
        <f t="shared" si="31"/>
        <v>400</v>
      </c>
      <c r="L118" s="38"/>
      <c r="M118" s="187"/>
      <c r="N118" s="187"/>
      <c r="O118" s="187"/>
      <c r="P118" s="38"/>
      <c r="Q118" s="38"/>
      <c r="R118" s="38"/>
      <c r="S118" s="182"/>
      <c r="T118" s="79">
        <f t="shared" si="40"/>
        <v>0</v>
      </c>
      <c r="U118" s="122">
        <f t="shared" si="41"/>
        <v>400</v>
      </c>
    </row>
    <row r="119" spans="1:21" ht="51">
      <c r="A119" s="155" t="s">
        <v>160</v>
      </c>
      <c r="B119" s="47" t="s">
        <v>161</v>
      </c>
      <c r="C119" s="21"/>
      <c r="D119" s="22"/>
      <c r="E119" s="22">
        <v>49.342</v>
      </c>
      <c r="F119" s="22"/>
      <c r="G119" s="22"/>
      <c r="H119" s="22"/>
      <c r="I119" s="22"/>
      <c r="J119" s="111"/>
      <c r="K119" s="75">
        <f t="shared" si="31"/>
        <v>49.342</v>
      </c>
      <c r="L119" s="22"/>
      <c r="M119" s="184"/>
      <c r="N119" s="102">
        <v>49.342</v>
      </c>
      <c r="O119" s="184"/>
      <c r="P119" s="22"/>
      <c r="Q119" s="22"/>
      <c r="R119" s="22"/>
      <c r="S119" s="111"/>
      <c r="T119" s="75">
        <f t="shared" si="40"/>
        <v>49.342</v>
      </c>
      <c r="U119" s="124">
        <f t="shared" si="41"/>
        <v>0</v>
      </c>
    </row>
    <row r="120" spans="1:21" ht="51">
      <c r="A120" s="155" t="s">
        <v>162</v>
      </c>
      <c r="B120" s="47" t="s">
        <v>163</v>
      </c>
      <c r="C120" s="21"/>
      <c r="D120" s="22"/>
      <c r="E120" s="22">
        <v>57.701</v>
      </c>
      <c r="F120" s="22"/>
      <c r="G120" s="22"/>
      <c r="H120" s="22"/>
      <c r="I120" s="22"/>
      <c r="J120" s="111"/>
      <c r="K120" s="75">
        <f t="shared" si="31"/>
        <v>57.701</v>
      </c>
      <c r="L120" s="22"/>
      <c r="M120" s="184"/>
      <c r="N120" s="102">
        <v>57.701</v>
      </c>
      <c r="O120" s="184"/>
      <c r="P120" s="22"/>
      <c r="Q120" s="22"/>
      <c r="R120" s="22"/>
      <c r="S120" s="111"/>
      <c r="T120" s="79">
        <f t="shared" si="40"/>
        <v>57.701</v>
      </c>
      <c r="U120" s="122">
        <f t="shared" si="41"/>
        <v>0</v>
      </c>
    </row>
    <row r="121" spans="1:21" ht="51">
      <c r="A121" s="155" t="s">
        <v>164</v>
      </c>
      <c r="B121" s="47" t="s">
        <v>165</v>
      </c>
      <c r="C121" s="21"/>
      <c r="D121" s="22"/>
      <c r="E121" s="22">
        <v>47.041</v>
      </c>
      <c r="F121" s="22"/>
      <c r="G121" s="22"/>
      <c r="H121" s="22"/>
      <c r="I121" s="22"/>
      <c r="J121" s="111"/>
      <c r="K121" s="75">
        <f t="shared" si="31"/>
        <v>47.041</v>
      </c>
      <c r="L121" s="22"/>
      <c r="M121" s="184"/>
      <c r="N121" s="184"/>
      <c r="O121" s="184"/>
      <c r="P121" s="22"/>
      <c r="Q121" s="22"/>
      <c r="R121" s="22"/>
      <c r="S121" s="111"/>
      <c r="T121" s="75">
        <f t="shared" si="40"/>
        <v>0</v>
      </c>
      <c r="U121" s="122">
        <f t="shared" si="41"/>
        <v>47.041</v>
      </c>
    </row>
    <row r="122" spans="1:21" ht="51">
      <c r="A122" s="155" t="s">
        <v>166</v>
      </c>
      <c r="B122" s="47" t="s">
        <v>167</v>
      </c>
      <c r="C122" s="21"/>
      <c r="D122" s="22"/>
      <c r="E122" s="22">
        <v>42.062</v>
      </c>
      <c r="F122" s="22"/>
      <c r="G122" s="22"/>
      <c r="H122" s="22"/>
      <c r="I122" s="22"/>
      <c r="J122" s="111"/>
      <c r="K122" s="75">
        <f t="shared" si="31"/>
        <v>42.062</v>
      </c>
      <c r="L122" s="22"/>
      <c r="M122" s="184"/>
      <c r="N122" s="184"/>
      <c r="O122" s="184"/>
      <c r="P122" s="22"/>
      <c r="Q122" s="22"/>
      <c r="R122" s="22"/>
      <c r="S122" s="111"/>
      <c r="T122" s="79">
        <f t="shared" si="40"/>
        <v>0</v>
      </c>
      <c r="U122" s="122">
        <f t="shared" si="41"/>
        <v>42.062</v>
      </c>
    </row>
    <row r="123" spans="1:21" ht="12.75">
      <c r="A123" s="4" t="s">
        <v>168</v>
      </c>
      <c r="B123" s="5" t="s">
        <v>169</v>
      </c>
      <c r="C123" s="6">
        <f aca="true" t="shared" si="44" ref="C123:J123">C124</f>
        <v>0</v>
      </c>
      <c r="D123" s="6">
        <f t="shared" si="44"/>
        <v>0</v>
      </c>
      <c r="E123" s="6">
        <f t="shared" si="44"/>
        <v>686.315</v>
      </c>
      <c r="F123" s="6">
        <f t="shared" si="44"/>
        <v>0</v>
      </c>
      <c r="G123" s="6">
        <f t="shared" si="44"/>
        <v>0</v>
      </c>
      <c r="H123" s="6">
        <f t="shared" si="44"/>
        <v>0</v>
      </c>
      <c r="I123" s="6">
        <f t="shared" si="44"/>
        <v>0</v>
      </c>
      <c r="J123" s="6">
        <f t="shared" si="44"/>
        <v>0</v>
      </c>
      <c r="K123" s="70">
        <f t="shared" si="31"/>
        <v>686.315</v>
      </c>
      <c r="L123" s="6">
        <f aca="true" t="shared" si="45" ref="L123:S123">L124</f>
        <v>0</v>
      </c>
      <c r="M123" s="6">
        <f t="shared" si="45"/>
        <v>0</v>
      </c>
      <c r="N123" s="6">
        <f t="shared" si="45"/>
        <v>0</v>
      </c>
      <c r="O123" s="6">
        <f t="shared" si="45"/>
        <v>0</v>
      </c>
      <c r="P123" s="6">
        <f t="shared" si="45"/>
        <v>0</v>
      </c>
      <c r="Q123" s="6">
        <f t="shared" si="45"/>
        <v>0</v>
      </c>
      <c r="R123" s="6">
        <f t="shared" si="45"/>
        <v>0</v>
      </c>
      <c r="S123" s="6">
        <f t="shared" si="45"/>
        <v>0</v>
      </c>
      <c r="T123" s="70">
        <f t="shared" si="40"/>
        <v>0</v>
      </c>
      <c r="U123" s="113">
        <f t="shared" si="41"/>
        <v>686.315</v>
      </c>
    </row>
    <row r="124" spans="1:21" ht="76.5">
      <c r="A124" s="156" t="s">
        <v>170</v>
      </c>
      <c r="B124" s="164" t="s">
        <v>171</v>
      </c>
      <c r="C124" s="59"/>
      <c r="D124" s="60"/>
      <c r="E124" s="60">
        <v>686.315</v>
      </c>
      <c r="F124" s="60"/>
      <c r="G124" s="60"/>
      <c r="H124" s="60"/>
      <c r="I124" s="60"/>
      <c r="J124" s="110"/>
      <c r="K124" s="75">
        <f t="shared" si="31"/>
        <v>686.315</v>
      </c>
      <c r="L124" s="60"/>
      <c r="M124" s="185"/>
      <c r="N124" s="185"/>
      <c r="O124" s="185"/>
      <c r="P124" s="60"/>
      <c r="Q124" s="60"/>
      <c r="R124" s="60"/>
      <c r="S124" s="110"/>
      <c r="T124" s="79">
        <f t="shared" si="40"/>
        <v>0</v>
      </c>
      <c r="U124" s="122">
        <f t="shared" si="41"/>
        <v>686.315</v>
      </c>
    </row>
    <row r="125" spans="1:21" ht="12.75">
      <c r="A125" s="132" t="s">
        <v>172</v>
      </c>
      <c r="B125" s="133" t="s">
        <v>173</v>
      </c>
      <c r="C125" s="29">
        <f aca="true" t="shared" si="46" ref="C125:T125">C126</f>
        <v>0</v>
      </c>
      <c r="D125" s="29">
        <f t="shared" si="46"/>
        <v>0</v>
      </c>
      <c r="E125" s="29">
        <f t="shared" si="46"/>
        <v>310.62</v>
      </c>
      <c r="F125" s="29">
        <f t="shared" si="46"/>
        <v>0</v>
      </c>
      <c r="G125" s="29">
        <f t="shared" si="46"/>
        <v>0</v>
      </c>
      <c r="H125" s="29">
        <f t="shared" si="46"/>
        <v>0</v>
      </c>
      <c r="I125" s="29">
        <f t="shared" si="46"/>
        <v>0</v>
      </c>
      <c r="J125" s="29">
        <f t="shared" si="46"/>
        <v>0</v>
      </c>
      <c r="K125" s="70">
        <f t="shared" si="46"/>
        <v>310.62</v>
      </c>
      <c r="L125" s="29">
        <f t="shared" si="46"/>
        <v>0</v>
      </c>
      <c r="M125" s="29">
        <f t="shared" si="46"/>
        <v>0</v>
      </c>
      <c r="N125" s="29">
        <f t="shared" si="46"/>
        <v>0</v>
      </c>
      <c r="O125" s="29">
        <f t="shared" si="46"/>
        <v>0</v>
      </c>
      <c r="P125" s="29">
        <f t="shared" si="46"/>
        <v>0</v>
      </c>
      <c r="Q125" s="29">
        <f t="shared" si="46"/>
        <v>0</v>
      </c>
      <c r="R125" s="29">
        <f t="shared" si="46"/>
        <v>0</v>
      </c>
      <c r="S125" s="29">
        <f t="shared" si="46"/>
        <v>0</v>
      </c>
      <c r="T125" s="70">
        <f t="shared" si="46"/>
        <v>0</v>
      </c>
      <c r="U125" s="113">
        <f t="shared" si="41"/>
        <v>310.62</v>
      </c>
    </row>
    <row r="126" spans="1:21" ht="38.25">
      <c r="A126" s="150" t="s">
        <v>174</v>
      </c>
      <c r="B126" s="167" t="s">
        <v>175</v>
      </c>
      <c r="C126" s="168"/>
      <c r="D126" s="60"/>
      <c r="E126" s="14">
        <v>310.62</v>
      </c>
      <c r="F126" s="60"/>
      <c r="G126" s="60"/>
      <c r="H126" s="60"/>
      <c r="I126" s="60"/>
      <c r="J126" s="110"/>
      <c r="K126" s="73">
        <f>SUM(C126:J126)</f>
        <v>310.62</v>
      </c>
      <c r="L126" s="185"/>
      <c r="M126" s="185"/>
      <c r="N126" s="185"/>
      <c r="O126" s="185"/>
      <c r="P126" s="185"/>
      <c r="Q126" s="185"/>
      <c r="R126" s="185"/>
      <c r="S126" s="189"/>
      <c r="T126" s="73">
        <f>SUM(L126:S126)</f>
        <v>0</v>
      </c>
      <c r="U126" s="190">
        <f t="shared" si="41"/>
        <v>310.62</v>
      </c>
    </row>
    <row r="127" spans="1:21" ht="51">
      <c r="A127" s="132" t="s">
        <v>176</v>
      </c>
      <c r="B127" s="133" t="s">
        <v>177</v>
      </c>
      <c r="C127" s="6">
        <f aca="true" t="shared" si="47" ref="C127:T127">C128</f>
        <v>768</v>
      </c>
      <c r="D127" s="6">
        <f t="shared" si="47"/>
        <v>32</v>
      </c>
      <c r="E127" s="6">
        <f t="shared" si="47"/>
        <v>569.1800000000001</v>
      </c>
      <c r="F127" s="6">
        <f t="shared" si="47"/>
        <v>0</v>
      </c>
      <c r="G127" s="6">
        <f t="shared" si="47"/>
        <v>0</v>
      </c>
      <c r="H127" s="6">
        <f t="shared" si="47"/>
        <v>0</v>
      </c>
      <c r="I127" s="6">
        <f t="shared" si="47"/>
        <v>0</v>
      </c>
      <c r="J127" s="6">
        <f t="shared" si="47"/>
        <v>0</v>
      </c>
      <c r="K127" s="70">
        <f t="shared" si="47"/>
        <v>1369.18</v>
      </c>
      <c r="L127" s="6">
        <f t="shared" si="47"/>
        <v>768</v>
      </c>
      <c r="M127" s="6">
        <f t="shared" si="47"/>
        <v>32</v>
      </c>
      <c r="N127" s="6">
        <f t="shared" si="47"/>
        <v>569.18</v>
      </c>
      <c r="O127" s="6">
        <f t="shared" si="47"/>
        <v>0</v>
      </c>
      <c r="P127" s="6">
        <f t="shared" si="47"/>
        <v>0</v>
      </c>
      <c r="Q127" s="6">
        <f t="shared" si="47"/>
        <v>0</v>
      </c>
      <c r="R127" s="6">
        <f t="shared" si="47"/>
        <v>0</v>
      </c>
      <c r="S127" s="6">
        <f t="shared" si="47"/>
        <v>0</v>
      </c>
      <c r="T127" s="70">
        <f t="shared" si="47"/>
        <v>1369.1799999999998</v>
      </c>
      <c r="U127" s="113">
        <f t="shared" si="41"/>
        <v>0</v>
      </c>
    </row>
    <row r="128" spans="1:21" ht="63.75">
      <c r="A128" s="150" t="s">
        <v>178</v>
      </c>
      <c r="B128" s="169" t="s">
        <v>179</v>
      </c>
      <c r="C128" s="60">
        <v>768</v>
      </c>
      <c r="D128" s="60">
        <v>32</v>
      </c>
      <c r="E128" s="14">
        <f>390+179.18</f>
        <v>569.1800000000001</v>
      </c>
      <c r="F128" s="60"/>
      <c r="G128" s="60"/>
      <c r="H128" s="60"/>
      <c r="I128" s="60"/>
      <c r="J128" s="110"/>
      <c r="K128" s="73">
        <f>SUM(C128:J128)</f>
        <v>1369.18</v>
      </c>
      <c r="L128" s="186">
        <v>768</v>
      </c>
      <c r="M128" s="186">
        <v>32</v>
      </c>
      <c r="N128" s="186">
        <v>569.18</v>
      </c>
      <c r="O128" s="185"/>
      <c r="P128" s="185"/>
      <c r="Q128" s="185"/>
      <c r="R128" s="185"/>
      <c r="S128" s="189"/>
      <c r="T128" s="73">
        <f>SUM(L128:S128)</f>
        <v>1369.1799999999998</v>
      </c>
      <c r="U128" s="191">
        <f t="shared" si="41"/>
        <v>0</v>
      </c>
    </row>
    <row r="129" spans="1:21" ht="12.75">
      <c r="A129" s="132" t="s">
        <v>180</v>
      </c>
      <c r="B129" s="133" t="s">
        <v>181</v>
      </c>
      <c r="C129" s="6">
        <f aca="true" t="shared" si="48" ref="C129:T129">C130</f>
        <v>0</v>
      </c>
      <c r="D129" s="6">
        <f t="shared" si="48"/>
        <v>17785.6</v>
      </c>
      <c r="E129" s="6">
        <f t="shared" si="48"/>
        <v>4446.4</v>
      </c>
      <c r="F129" s="6">
        <f t="shared" si="48"/>
        <v>0</v>
      </c>
      <c r="G129" s="6">
        <f t="shared" si="48"/>
        <v>0</v>
      </c>
      <c r="H129" s="6">
        <f t="shared" si="48"/>
        <v>0</v>
      </c>
      <c r="I129" s="6">
        <f t="shared" si="48"/>
        <v>0</v>
      </c>
      <c r="J129" s="6">
        <f t="shared" si="48"/>
        <v>0</v>
      </c>
      <c r="K129" s="70">
        <f t="shared" si="48"/>
        <v>22232</v>
      </c>
      <c r="L129" s="6">
        <f t="shared" si="48"/>
        <v>0</v>
      </c>
      <c r="M129" s="6">
        <f t="shared" si="48"/>
        <v>0</v>
      </c>
      <c r="N129" s="6">
        <f t="shared" si="48"/>
        <v>0</v>
      </c>
      <c r="O129" s="6">
        <f t="shared" si="48"/>
        <v>0</v>
      </c>
      <c r="P129" s="6">
        <f t="shared" si="48"/>
        <v>0</v>
      </c>
      <c r="Q129" s="6">
        <f t="shared" si="48"/>
        <v>0</v>
      </c>
      <c r="R129" s="6">
        <f t="shared" si="48"/>
        <v>0</v>
      </c>
      <c r="S129" s="6">
        <f t="shared" si="48"/>
        <v>0</v>
      </c>
      <c r="T129" s="70">
        <f t="shared" si="48"/>
        <v>0</v>
      </c>
      <c r="U129" s="113">
        <f t="shared" si="41"/>
        <v>22232</v>
      </c>
    </row>
    <row r="130" spans="1:21" ht="76.5">
      <c r="A130" s="150" t="s">
        <v>182</v>
      </c>
      <c r="B130" s="51" t="s">
        <v>183</v>
      </c>
      <c r="C130" s="60">
        <v>0</v>
      </c>
      <c r="D130" s="14">
        <f>18768-982.4</f>
        <v>17785.6</v>
      </c>
      <c r="E130" s="14">
        <f>4692-245.6</f>
        <v>4446.4</v>
      </c>
      <c r="F130" s="60"/>
      <c r="G130" s="60"/>
      <c r="H130" s="60"/>
      <c r="I130" s="60"/>
      <c r="J130" s="110"/>
      <c r="K130" s="73">
        <f>SUM(C130:J130)</f>
        <v>22232</v>
      </c>
      <c r="L130" s="185"/>
      <c r="M130" s="185"/>
      <c r="N130" s="185"/>
      <c r="O130" s="185"/>
      <c r="P130" s="185"/>
      <c r="Q130" s="185"/>
      <c r="R130" s="185"/>
      <c r="S130" s="189"/>
      <c r="T130" s="73">
        <f>SUM(L130:S130)</f>
        <v>0</v>
      </c>
      <c r="U130" s="191">
        <f t="shared" si="41"/>
        <v>22232</v>
      </c>
    </row>
    <row r="131" spans="1:21" ht="18" customHeight="1">
      <c r="A131" s="132" t="s">
        <v>184</v>
      </c>
      <c r="B131" s="133" t="s">
        <v>185</v>
      </c>
      <c r="C131" s="6">
        <f aca="true" t="shared" si="49" ref="C131:T131">C132</f>
        <v>0</v>
      </c>
      <c r="D131" s="6">
        <f t="shared" si="49"/>
        <v>17572</v>
      </c>
      <c r="E131" s="6">
        <f t="shared" si="49"/>
        <v>0</v>
      </c>
      <c r="F131" s="6">
        <f t="shared" si="49"/>
        <v>0</v>
      </c>
      <c r="G131" s="6">
        <f t="shared" si="49"/>
        <v>0</v>
      </c>
      <c r="H131" s="6">
        <f t="shared" si="49"/>
        <v>0</v>
      </c>
      <c r="I131" s="6">
        <f t="shared" si="49"/>
        <v>0</v>
      </c>
      <c r="J131" s="6">
        <f t="shared" si="49"/>
        <v>0</v>
      </c>
      <c r="K131" s="70">
        <f t="shared" si="49"/>
        <v>17572</v>
      </c>
      <c r="L131" s="6">
        <f t="shared" si="49"/>
        <v>0</v>
      </c>
      <c r="M131" s="6">
        <f t="shared" si="49"/>
        <v>0</v>
      </c>
      <c r="N131" s="6">
        <f t="shared" si="49"/>
        <v>0</v>
      </c>
      <c r="O131" s="6">
        <f t="shared" si="49"/>
        <v>0</v>
      </c>
      <c r="P131" s="6">
        <f t="shared" si="49"/>
        <v>0</v>
      </c>
      <c r="Q131" s="6">
        <f t="shared" si="49"/>
        <v>0</v>
      </c>
      <c r="R131" s="6">
        <f t="shared" si="49"/>
        <v>0</v>
      </c>
      <c r="S131" s="6">
        <f t="shared" si="49"/>
        <v>0</v>
      </c>
      <c r="T131" s="70">
        <f t="shared" si="49"/>
        <v>0</v>
      </c>
      <c r="U131" s="113">
        <f t="shared" si="41"/>
        <v>17572</v>
      </c>
    </row>
    <row r="132" spans="1:21" ht="63.75">
      <c r="A132" s="150" t="s">
        <v>186</v>
      </c>
      <c r="B132" s="51" t="s">
        <v>187</v>
      </c>
      <c r="C132" s="60">
        <v>0</v>
      </c>
      <c r="D132" s="14">
        <f>17572</f>
        <v>17572</v>
      </c>
      <c r="E132" s="14"/>
      <c r="F132" s="60"/>
      <c r="G132" s="60"/>
      <c r="H132" s="60"/>
      <c r="I132" s="60"/>
      <c r="J132" s="110"/>
      <c r="K132" s="73">
        <f>SUM(C132:J132)</f>
        <v>17572</v>
      </c>
      <c r="L132" s="185"/>
      <c r="M132" s="185"/>
      <c r="N132" s="185"/>
      <c r="O132" s="185"/>
      <c r="P132" s="185"/>
      <c r="Q132" s="185"/>
      <c r="R132" s="185"/>
      <c r="S132" s="189"/>
      <c r="T132" s="73">
        <f>SUM(L132:S132)</f>
        <v>0</v>
      </c>
      <c r="U132" s="191">
        <f t="shared" si="41"/>
        <v>17572</v>
      </c>
    </row>
    <row r="133" spans="1:21" ht="89.25">
      <c r="A133" s="132" t="s">
        <v>188</v>
      </c>
      <c r="B133" s="133" t="s">
        <v>189</v>
      </c>
      <c r="C133" s="6">
        <f aca="true" t="shared" si="50" ref="C133:T133">C134</f>
        <v>0</v>
      </c>
      <c r="D133" s="6">
        <f t="shared" si="50"/>
        <v>1750</v>
      </c>
      <c r="E133" s="6">
        <f t="shared" si="50"/>
        <v>0</v>
      </c>
      <c r="F133" s="6">
        <f t="shared" si="50"/>
        <v>0</v>
      </c>
      <c r="G133" s="6">
        <f t="shared" si="50"/>
        <v>0</v>
      </c>
      <c r="H133" s="6">
        <f t="shared" si="50"/>
        <v>0</v>
      </c>
      <c r="I133" s="6">
        <f t="shared" si="50"/>
        <v>0</v>
      </c>
      <c r="J133" s="6">
        <f t="shared" si="50"/>
        <v>0</v>
      </c>
      <c r="K133" s="70">
        <f t="shared" si="50"/>
        <v>1750</v>
      </c>
      <c r="L133" s="6">
        <f t="shared" si="50"/>
        <v>0</v>
      </c>
      <c r="M133" s="6">
        <f t="shared" si="50"/>
        <v>0</v>
      </c>
      <c r="N133" s="6">
        <f t="shared" si="50"/>
        <v>0</v>
      </c>
      <c r="O133" s="6">
        <f t="shared" si="50"/>
        <v>0</v>
      </c>
      <c r="P133" s="6">
        <f t="shared" si="50"/>
        <v>0</v>
      </c>
      <c r="Q133" s="6">
        <f t="shared" si="50"/>
        <v>0</v>
      </c>
      <c r="R133" s="6">
        <f t="shared" si="50"/>
        <v>0</v>
      </c>
      <c r="S133" s="6">
        <f t="shared" si="50"/>
        <v>0</v>
      </c>
      <c r="T133" s="70">
        <f t="shared" si="50"/>
        <v>0</v>
      </c>
      <c r="U133" s="113">
        <f t="shared" si="41"/>
        <v>1750</v>
      </c>
    </row>
    <row r="134" spans="1:21" ht="114.75">
      <c r="A134" s="150" t="s">
        <v>190</v>
      </c>
      <c r="B134" s="51" t="s">
        <v>191</v>
      </c>
      <c r="C134" s="60">
        <v>0</v>
      </c>
      <c r="D134" s="14">
        <f>1750</f>
        <v>1750</v>
      </c>
      <c r="E134" s="14"/>
      <c r="F134" s="60"/>
      <c r="G134" s="60"/>
      <c r="H134" s="60"/>
      <c r="I134" s="60"/>
      <c r="J134" s="110"/>
      <c r="K134" s="73">
        <f>SUM(C134:J134)</f>
        <v>1750</v>
      </c>
      <c r="L134" s="185"/>
      <c r="M134" s="185"/>
      <c r="N134" s="185"/>
      <c r="O134" s="185"/>
      <c r="P134" s="185"/>
      <c r="Q134" s="185"/>
      <c r="R134" s="185"/>
      <c r="S134" s="189"/>
      <c r="T134" s="73">
        <f>SUM(L134:S134)</f>
        <v>0</v>
      </c>
      <c r="U134" s="191">
        <f t="shared" si="41"/>
        <v>1750</v>
      </c>
    </row>
    <row r="135" spans="1:21" ht="12.75">
      <c r="A135" s="192"/>
      <c r="B135" s="5" t="s">
        <v>192</v>
      </c>
      <c r="C135" s="6">
        <f aca="true" t="shared" si="51" ref="C135:J135">C11+C26+C29+C46+C94+C96+C103+C107+C109+C125+C127+C129+C131+C133</f>
        <v>52055.31005000001</v>
      </c>
      <c r="D135" s="6">
        <f t="shared" si="51"/>
        <v>394225.68994999997</v>
      </c>
      <c r="E135" s="6">
        <f t="shared" si="51"/>
        <v>57180.77334000001</v>
      </c>
      <c r="F135" s="6">
        <f t="shared" si="51"/>
        <v>0</v>
      </c>
      <c r="G135" s="6">
        <f t="shared" si="51"/>
        <v>0</v>
      </c>
      <c r="H135" s="6">
        <f t="shared" si="51"/>
        <v>0</v>
      </c>
      <c r="I135" s="6">
        <f t="shared" si="51"/>
        <v>0</v>
      </c>
      <c r="J135" s="6">
        <f t="shared" si="51"/>
        <v>36525</v>
      </c>
      <c r="K135" s="70">
        <f>SUM(C135:J135)</f>
        <v>539986.7733400001</v>
      </c>
      <c r="L135" s="6">
        <f aca="true" t="shared" si="52" ref="L135:S135">L11+L26+L29+L46+L94+L96+L103+L107+L109+L125+L127+L129+L131+L133</f>
        <v>11496.28376</v>
      </c>
      <c r="M135" s="6">
        <f t="shared" si="52"/>
        <v>205841.47642000002</v>
      </c>
      <c r="N135" s="6">
        <f t="shared" si="52"/>
        <v>28003.9889</v>
      </c>
      <c r="O135" s="6">
        <f t="shared" si="52"/>
        <v>0</v>
      </c>
      <c r="P135" s="6">
        <f t="shared" si="52"/>
        <v>0</v>
      </c>
      <c r="Q135" s="6">
        <f t="shared" si="52"/>
        <v>0</v>
      </c>
      <c r="R135" s="6">
        <f t="shared" si="52"/>
        <v>0</v>
      </c>
      <c r="S135" s="6">
        <f t="shared" si="52"/>
        <v>32142.01203</v>
      </c>
      <c r="T135" s="201">
        <f>SUM(L135:S135)</f>
        <v>277483.76111</v>
      </c>
      <c r="U135" s="113">
        <f t="shared" si="41"/>
        <v>262503.01223000005</v>
      </c>
    </row>
    <row r="138" spans="2:9" ht="15.75">
      <c r="B138" s="193" t="s">
        <v>193</v>
      </c>
      <c r="C138" s="194"/>
      <c r="D138" s="194"/>
      <c r="E138" s="194"/>
      <c r="F138" s="195"/>
      <c r="G138" s="195"/>
      <c r="H138" s="195"/>
      <c r="I138" s="195"/>
    </row>
    <row r="139" spans="2:7" ht="15.75">
      <c r="B139" s="196" t="s">
        <v>194</v>
      </c>
      <c r="C139" s="196"/>
      <c r="D139" s="196"/>
      <c r="E139" s="194"/>
      <c r="F139" s="195"/>
      <c r="G139" s="195"/>
    </row>
    <row r="140" spans="2:15" ht="15.75">
      <c r="B140" s="221" t="s">
        <v>195</v>
      </c>
      <c r="C140" s="221"/>
      <c r="D140" s="221"/>
      <c r="E140" s="221"/>
      <c r="F140" s="195"/>
      <c r="G140" s="195"/>
      <c r="M140" s="222" t="s">
        <v>196</v>
      </c>
      <c r="N140" s="222"/>
      <c r="O140" s="222"/>
    </row>
    <row r="141" spans="2:8" ht="15.75">
      <c r="B141" s="197"/>
      <c r="C141" s="194"/>
      <c r="D141" s="194"/>
      <c r="E141" s="194"/>
      <c r="F141" s="195"/>
      <c r="G141" s="195"/>
      <c r="H141" s="198"/>
    </row>
    <row r="142" spans="2:8" ht="15.75">
      <c r="B142" s="197"/>
      <c r="C142" s="194"/>
      <c r="D142" s="194"/>
      <c r="E142" s="194"/>
      <c r="F142" s="195"/>
      <c r="G142" s="195"/>
      <c r="H142" s="198"/>
    </row>
    <row r="143" spans="2:15" ht="15.75">
      <c r="B143" s="193" t="s">
        <v>197</v>
      </c>
      <c r="C143" s="194"/>
      <c r="D143" s="194"/>
      <c r="E143" s="194"/>
      <c r="F143" s="199"/>
      <c r="G143" s="200"/>
      <c r="H143" s="200"/>
      <c r="I143" s="199"/>
      <c r="M143" s="213" t="s">
        <v>198</v>
      </c>
      <c r="N143" s="213"/>
      <c r="O143" s="213"/>
    </row>
    <row r="144" spans="2:7" ht="15.75">
      <c r="B144" s="214" t="s">
        <v>199</v>
      </c>
      <c r="C144" s="214"/>
      <c r="D144" s="214"/>
      <c r="E144" s="214"/>
      <c r="F144" s="199"/>
      <c r="G144" s="200"/>
    </row>
  </sheetData>
  <sheetProtection/>
  <mergeCells count="28">
    <mergeCell ref="E9:F9"/>
    <mergeCell ref="N9:O9"/>
    <mergeCell ref="B140:E140"/>
    <mergeCell ref="M140:O140"/>
    <mergeCell ref="K8:K10"/>
    <mergeCell ref="L9:L10"/>
    <mergeCell ref="M9:M10"/>
    <mergeCell ref="C8:J8"/>
    <mergeCell ref="L8:S8"/>
    <mergeCell ref="M143:O143"/>
    <mergeCell ref="B144:E144"/>
    <mergeCell ref="A8:A10"/>
    <mergeCell ref="B8:B10"/>
    <mergeCell ref="C9:C10"/>
    <mergeCell ref="D9:D10"/>
    <mergeCell ref="G9:G10"/>
    <mergeCell ref="H9:H10"/>
    <mergeCell ref="I9:I10"/>
    <mergeCell ref="J9:J10"/>
    <mergeCell ref="Q1:U2"/>
    <mergeCell ref="P9:P10"/>
    <mergeCell ref="Q9:Q10"/>
    <mergeCell ref="R9:R10"/>
    <mergeCell ref="S9:S10"/>
    <mergeCell ref="A5:U5"/>
    <mergeCell ref="A6:U6"/>
    <mergeCell ref="T8:T10"/>
    <mergeCell ref="U8:U10"/>
  </mergeCells>
  <printOptions/>
  <pageMargins left="0.11805555555555555" right="0.07847222222222222" top="0.3541666666666667" bottom="0.2361111111111111" header="0" footer="0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УпрСтр2Прихожаев</dc:creator>
  <cp:keywords/>
  <dc:description/>
  <cp:lastModifiedBy>МунСовет</cp:lastModifiedBy>
  <cp:lastPrinted>2021-11-23T06:30:41Z</cp:lastPrinted>
  <dcterms:created xsi:type="dcterms:W3CDTF">2011-01-18T12:06:27Z</dcterms:created>
  <dcterms:modified xsi:type="dcterms:W3CDTF">2021-11-26T13:25:42Z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1049-11.2.0.10351</vt:lpwstr>
  </property>
  <property fmtid="{D5CDD505-2E9C-101B-9397-08002B2CF9AE}" pid="3" name="ICV">
    <vt:lpwstr>163396B68959494F8739CA902A7508F3</vt:lpwstr>
  </property>
</Properties>
</file>