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0"/>
  </bookViews>
  <sheets>
    <sheet name="окончательный 2020" sheetId="1" r:id="rId1"/>
  </sheets>
  <definedNames/>
  <calcPr fullCalcOnLoad="1"/>
</workbook>
</file>

<file path=xl/sharedStrings.xml><?xml version="1.0" encoding="utf-8"?>
<sst xmlns="http://schemas.openxmlformats.org/spreadsheetml/2006/main" count="189" uniqueCount="180">
  <si>
    <t>Титульный список</t>
  </si>
  <si>
    <t>по благоустройству, строительству, капитальному и текущему ремонтам объектов Валуйского городского округа на 2020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</si>
  <si>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</si>
  <si>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</si>
  <si>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</si>
  <si>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</si>
  <si>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Профинансировано (тыс.руб.)</t>
  </si>
  <si>
    <t>остаток средств</t>
  </si>
  <si>
    <t>Федераль-ный бюджет</t>
  </si>
  <si>
    <t>Областной бюджет</t>
  </si>
  <si>
    <t>Местный бюджет</t>
  </si>
  <si>
    <t>Ср-ва терр-рии                         (инвес-торы)</t>
  </si>
  <si>
    <t>Внебюджетные источ-ники</t>
  </si>
  <si>
    <t>за счет передвижения средств</t>
  </si>
  <si>
    <t>за счет средств дорож-ного фонда</t>
  </si>
  <si>
    <t>за счет средств дорож-ного                 фонда</t>
  </si>
  <si>
    <t>утверждено бюджетом на 2020 г.</t>
  </si>
  <si>
    <t>прочие доходы от оказания платных услуг</t>
  </si>
  <si>
    <t>1.</t>
  </si>
  <si>
    <t>Дорожное хозяйство (дорожные фонды)</t>
  </si>
  <si>
    <t>1.1.</t>
  </si>
  <si>
    <r>
      <t xml:space="preserve">Капитальный ремонт действующей сети Валуйского городского округа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244 310/310304 Доп.ФК 04.13.00)                                                                      </t>
    </r>
  </si>
  <si>
    <t>1.2.</t>
  </si>
  <si>
    <r>
      <t xml:space="preserve">Приобретение светофорного объекта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(0409 0310120580 244 226/2260411   Доп.ФК 04.13.00)  </t>
    </r>
  </si>
  <si>
    <t>1.3.</t>
  </si>
  <si>
    <r>
      <t xml:space="preserve">Разработка комплексной схемы организации дорожного движения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</si>
  <si>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1.4.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</si>
  <si>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</si>
  <si>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1.5.</t>
  </si>
  <si>
    <r>
      <t xml:space="preserve">Ремонт улично-дорожной сети Валуйского городского округа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0310172140/03101S2140 244 225/2250200 Доп.ФК 04.13.00)                                                                      </t>
    </r>
  </si>
  <si>
    <t>1.6.</t>
  </si>
  <si>
    <r>
      <t xml:space="preserve">Содержание автомобильных дорог общего пользования местного значения Валуйского городского округа                                                    </t>
    </r>
    <r>
      <rPr>
        <i/>
        <sz val="10"/>
        <rFont val="Times New Roman"/>
        <family val="1"/>
      </rPr>
      <t xml:space="preserve"> (МБУ "Валуйское благоуст ройст во")                                                                                                                                                    (0409 0310120580 611 241/3460000    Доп.ФК 04.13.00)                  </t>
    </r>
  </si>
  <si>
    <t>1.7.</t>
  </si>
  <si>
    <r>
      <t xml:space="preserve">Ремонт моста в с.Безгодовка Валуйского городского округа                                                                          </t>
    </r>
    <r>
      <rPr>
        <i/>
        <sz val="10"/>
        <rFont val="Times New Roman"/>
        <family val="1"/>
      </rPr>
      <t>(Насоновская т /а)                                                                                      (0409 0310320570 244 344/3440000 Доп.ФК 04.13.01)</t>
    </r>
  </si>
  <si>
    <t>1.8.</t>
  </si>
  <si>
    <r>
      <t xml:space="preserve">Устройство сетей наружного освещения по ул.М.Горького от 102/2 до д.134 в г.Валуйки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244 226/2260200 Доп.ФК 04.13.00)  </t>
    </r>
  </si>
  <si>
    <t>1.9.</t>
  </si>
  <si>
    <r>
      <t xml:space="preserve">Приобретение дорожных знаков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(Двулучанская т/а, Колосковская т/а, Принцевская т/а, Рождестсвенская т/а, Селивановская т/а, Тимоновская т/а, Уразовская т/а, Яблоновская т/а)                                                                                                                                                      (0409 0310320570 244 310/3100304 Доп.ФК 04.13.01)  </t>
    </r>
  </si>
  <si>
    <t>2.</t>
  </si>
  <si>
    <t>Обеспечение жильем детей сирот</t>
  </si>
  <si>
    <t>2.1.</t>
  </si>
  <si>
    <r>
      <t xml:space="preserve">Обеспечение жильем детей-сирот,                                                                                  детей, оставшихся без попечения родителей,                                                                                     и лиц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(1004 0210770820 412 310/3100400                                                             Доп.ФК 10.00.00)        </t>
    </r>
  </si>
  <si>
    <t>3.</t>
  </si>
  <si>
    <t>Капитальный ремонт</t>
  </si>
  <si>
    <t>3.1.</t>
  </si>
  <si>
    <t>Капитальный ремонт объектов образования</t>
  </si>
  <si>
    <t>3.1.1.</t>
  </si>
  <si>
    <r>
      <t xml:space="preserve">Капитальный ремонт МДОУ "ЦРР-ДС № 2" г.Валуйки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(0701 0710472120/07104S2120 243 225/2250503                                                                    Доп.ФК 15.04.23)                                                                                                        </t>
    </r>
  </si>
  <si>
    <t>3.1.2.</t>
  </si>
  <si>
    <r>
      <t xml:space="preserve">Капитальный ремонт МДОУ "ЦРР-ДС №10" г.Валуйки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(0701 0710472120/07104S2120 244 225/2250503                                     Доп.ФК 15.04.27)</t>
    </r>
  </si>
  <si>
    <t>3.1.3.</t>
  </si>
  <si>
    <r>
      <t xml:space="preserve">Капитальный ремонт кровель школы и детского сада расположенного в с.Рождествено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(0701 0710472120/07104S2120 243 225/2250503                                  Доп.ФК 15.04.29)</t>
    </r>
  </si>
  <si>
    <t>3.2.</t>
  </si>
  <si>
    <t xml:space="preserve">Капитальный ремонт объектов культуры </t>
  </si>
  <si>
    <t>3.2.1.</t>
  </si>
  <si>
    <r>
      <t xml:space="preserve">Капитальный ремонт МУК "Районный дворец культуры и спорта" г.Валуйки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(0801 0830572120/08305S2120 243 225/2250503                                                                                             Доп.ФК 15.04.55) </t>
    </r>
  </si>
  <si>
    <t>3.2.2.</t>
  </si>
  <si>
    <r>
      <t xml:space="preserve">Капитальный ремонт братской могилы с.Логачевка Валуйского городского округа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                            (0804 08406L2990 243 225/2250503                                     Доп.ФК 15.04.57)</t>
    </r>
  </si>
  <si>
    <t>3.2.3.</t>
  </si>
  <si>
    <r>
      <t xml:space="preserve">Капитальный ремонт кровли здания Центра культурного развития с.Шелаево филиала МУК "ДК и С"                                                             </t>
    </r>
    <r>
      <rPr>
        <i/>
        <sz val="10"/>
        <rFont val="Times New Roman"/>
        <family val="1"/>
      </rPr>
      <t xml:space="preserve">          (Адм. Вал.гор.округа)                                                                                                               (0801 0830570550 243 225/2250503                                     Доп.ФК 15.04.66)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</si>
  <si>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</si>
  <si>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3.3.</t>
  </si>
  <si>
    <t>Капитальный ремонт объектов физической культуры и спорта</t>
  </si>
  <si>
    <t>3.3.1.</t>
  </si>
  <si>
    <r>
      <t xml:space="preserve">Капитальный ремонт здания  МБУ "Валуйский ФОК"  г.Валуйки  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15.04.42) </t>
    </r>
  </si>
  <si>
    <t>3.3.2.</t>
  </si>
  <si>
    <r>
      <t xml:space="preserve">Капитальный ремонт стадиона "Центральный"                              г. Валуйки, ул. М.Горького, 45 "Б"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15.04.36)         </t>
    </r>
  </si>
  <si>
    <t>3.4.</t>
  </si>
  <si>
    <t>Капитальный ремонт прочих объектов социальной сферы</t>
  </si>
  <si>
    <t>3.4.1.</t>
  </si>
  <si>
    <r>
      <t xml:space="preserve">Ремонт здания расположенного по ул.Свердлова, д.20 в г.Валуйки                                                                           </t>
    </r>
    <r>
      <rPr>
        <i/>
        <sz val="10"/>
        <rFont val="Times New Roman"/>
        <family val="1"/>
      </rPr>
      <t xml:space="preserve">        (Адм. Вал.гор.округа)                                                                                                               (0314 0450172120/04501S2120 244 225/2250503                                     Доп.ФК 15.04.51)</t>
    </r>
  </si>
  <si>
    <t>4.</t>
  </si>
  <si>
    <t>Разработка ПСД, ПИР, проведение экспертиз</t>
  </si>
  <si>
    <t>4.1.</t>
  </si>
  <si>
    <r>
      <t xml:space="preserve">Проверка достоверности проектно-сметной документации и расчет индекса удорожания сметной стоимости СМР по МП "Формирование современной городской среды на 2018-2022 годы"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1310125550 244 226/2260404   Доп.ФК 05.03.20)</t>
    </r>
  </si>
  <si>
    <t>4.2.</t>
  </si>
  <si>
    <r>
      <t xml:space="preserve">Выполнение инженерно-экологических изысканий по объекту "Строительство пристройки для двух дошкольных групп (55 мест) и многофункционального зала к МОУ Колосковская СОШ"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(0702 0720821120 244 226/2260411  Доп.ФК 07.01.02)</t>
    </r>
  </si>
  <si>
    <t>4.3.</t>
  </si>
  <si>
    <r>
      <t xml:space="preserve">Выполнение инженерно-гидрометеорологических изысканий по объекту "Строительство пристройки для двух дошкольных групп (55 мест) и многофункционального зала к МОУ Колосковская СОШ"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(0702 0720821120 244 226/2260411   Доп.ФК 07.01.02)</t>
    </r>
  </si>
  <si>
    <t>4.4.</t>
  </si>
  <si>
    <r>
      <t xml:space="preserve">Разработка проектной документации стадии "Р" по объекту "Строительство Посоховского сельского клуба"                                                                </t>
    </r>
    <r>
      <rPr>
        <i/>
        <sz val="10"/>
        <rFont val="Times New Roman"/>
        <family val="1"/>
      </rPr>
      <t xml:space="preserve">              (МУК "ДК и С")                                                                                                                               (0801 0830100590 244 226/2260404   Доп.ФК 08.01.03)</t>
    </r>
  </si>
  <si>
    <t>4.5.</t>
  </si>
  <si>
    <r>
      <t xml:space="preserve">Расчет индекса удорожания сметной стоимости СМР по объекту: "Ремонт спортивного зала в МОУ "Герасимовская СОШ"  Валуйского р-на 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(0702 0720722110 243 226/2260404  Доп.ФК 15.04.05)</t>
    </r>
  </si>
  <si>
    <t>4.6.</t>
  </si>
  <si>
    <r>
      <t xml:space="preserve">Проверка достоверности определения сметной стоимости строительно-монтажных работ и  расчета индекса удорожания сметной стоимости строительно-монтажных работ к базисным ценам по объекту: "Капитальный ремонт МОУ "Яблоновская ООШ" Валуйского района Белгородской области" 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(0702 0720722110 243 226/2260411     Доп.ФК 07.01.02)</t>
    </r>
  </si>
  <si>
    <t>4.7.</t>
  </si>
  <si>
    <r>
      <t xml:space="preserve">Проведение проверки достоверности определния сметной стоимости и расчета индекса удорожания сметной стоимости СМР к базесным ценам по объекту: Капитальный ремонт МБУ "Валуйский ФОК"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(1105 1010122110 243 226/2260404  Доп.ФК 15.04.00)</t>
    </r>
  </si>
  <si>
    <t>4.8.</t>
  </si>
  <si>
    <r>
      <t xml:space="preserve">Проверка достоверности определения сметной стоимости и расчета индекса удорожания СМР по объекту: "Капитальный ремонт "Яблоновский СДК" Валуйского района                                                             </t>
    </r>
    <r>
      <rPr>
        <i/>
        <sz val="10"/>
        <rFont val="Times New Roman"/>
        <family val="1"/>
      </rPr>
      <t xml:space="preserve">                                    (Адм. Вал.гор.округа)                                                                                                                               (0801 0830122110 243 226/2260411 Доп.ФК 08.01.03)</t>
    </r>
  </si>
  <si>
    <t>4.9.</t>
  </si>
  <si>
    <r>
      <t xml:space="preserve">Проверка достоверности определения сметной стоимости  по объекту: "Устройство сетчатого ограждения контейнерных площадок Валуйского городского округа" 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(0605 0230121430 244 226/2260411  Доп.ФК 06.00.00)</t>
    </r>
  </si>
  <si>
    <t>4.10.</t>
  </si>
  <si>
    <r>
      <t xml:space="preserve">Проверка достоверности определения сметной стоимости  по объекту: "Ремонт здания, расположенного по ул.Свердлова, д.20 в г.Валуйки"                                                                  </t>
    </r>
    <r>
      <rPr>
        <i/>
        <sz val="10"/>
        <rFont val="Times New Roman"/>
        <family val="1"/>
      </rPr>
      <t xml:space="preserve">              (Адм. Вал.гор.округа)                                                                                                                               (0412 9990020810 244 226/2260411  Доп.ФК 04.00.00)</t>
    </r>
  </si>
  <si>
    <t>4.11.</t>
  </si>
  <si>
    <r>
      <t xml:space="preserve">Проверка достоверности определения сметной стоимости и расчета индекса удорожания СМР по объекту: "Текущий ремонт шахтных колодцев на территрии Валуйского городского округа"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0220721440 244 226/2260411  Доп.ФК 05.03.20)</t>
    </r>
  </si>
  <si>
    <t>4.12.</t>
  </si>
  <si>
    <r>
      <t xml:space="preserve">Проверка достоверности определения сметной стоимости и расчета индекса удорожания СМР по объекту: "Капитальный ремонт братской могилы в с.Логачевка Валуйского городского округа"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(0804 0840622990 244 226/2260411  Доп.ФК 15.04.57)</t>
    </r>
  </si>
  <si>
    <t>4.13.</t>
  </si>
  <si>
    <r>
      <t xml:space="preserve">Проверка достоверности определения сметной стоимости и расчета индекса удорожания СМР по объекту: "Ремонт системы отопления в МОУ "Уразовская СОШ №1" Валуйского городского округа"                                                                    </t>
    </r>
    <r>
      <rPr>
        <i/>
        <sz val="10"/>
        <rFont val="Times New Roman"/>
        <family val="1"/>
      </rPr>
      <t xml:space="preserve">     (Адм. Вал.гор.округа)                                                                                                                               (0702 0720722110 244 226/2260411   Доп.ФК 07.01.02)</t>
    </r>
  </si>
  <si>
    <t>4.14.</t>
  </si>
  <si>
    <r>
      <t xml:space="preserve">Проверка достоверности определения сметной стоимости и расчета индекса удорожания СМР по объекту: "Утепление перекрытий в МОУ "Уразовская СОШ №1" Валуйского городского округа (спортзал, переход)"                                                                      </t>
    </r>
    <r>
      <rPr>
        <i/>
        <sz val="10"/>
        <rFont val="Times New Roman"/>
        <family val="1"/>
      </rPr>
      <t xml:space="preserve">   (Адм. Вал.гор.округа)                                                                                                                               (0702 0720722110 244 226/2260411   Доп.ФК 07.01.02)</t>
    </r>
  </si>
  <si>
    <t>4.15.</t>
  </si>
  <si>
    <r>
      <t xml:space="preserve">Проверка достоверности определения сметной стоимости и расчета индекса удорожания СМР по объекту: "Обустройство мест накопления ТКО в п.Уразово Валуйского городского округа"                                                                      </t>
    </r>
    <r>
      <rPr>
        <i/>
        <sz val="10"/>
        <rFont val="Times New Roman"/>
        <family val="1"/>
      </rPr>
      <t xml:space="preserve">   (Адм. Вал.гор.округа)                                                                                                                               (0605 0230121430 244 226/2260411  Доп.ФК 06.00.00)</t>
    </r>
  </si>
  <si>
    <t>4.16.</t>
  </si>
  <si>
    <r>
      <t xml:space="preserve">Проверка достоверности определения сметной стоимости и расчета индекса удорожания СМР по объекту: "Благоустройство улицы Генерала Ватутина в селе Подгорное"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0230122220 244 226/2260411  Доп.ФК 05.03.20)</t>
    </r>
  </si>
  <si>
    <t>4.17.</t>
  </si>
  <si>
    <r>
      <t xml:space="preserve">Разработка ПСД и прохождение государственной экспертизы по объекту: "Капитальный ремонт                                                   МОУ "Уразовская СОШ № 2"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(0702 0720722110 243 226/2260411  Доп.ФК 15.04.32)</t>
    </r>
  </si>
  <si>
    <t>4.18.</t>
  </si>
  <si>
    <r>
      <t xml:space="preserve">Разработка ПСД и прохождение государственной экспертизы по объекту: "Капитальный ремонт                                                   МОУ "СОШ № 1", ул.Степана Разина, д.10 г.Валуйки БО"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(0702 0720722110 243 226/2260411  Доп.ФК 15.04.31)</t>
    </r>
  </si>
  <si>
    <t>4.19.</t>
  </si>
  <si>
    <r>
      <t xml:space="preserve">Разработка ПСД и прохождение государственной экспертизы по объекту: "Капитальный ремонт здания ЦКР, с.Казинка"   Валуйского городского округа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(0801 0830122110 243 226/2260411   Доп.ФК 15.04.59)                                                                                                                                                                                            </t>
    </r>
  </si>
  <si>
    <t>4.20.</t>
  </si>
  <si>
    <r>
      <t>Проведение проверки достоверности определения сметной стоимости по благоустройству общественных территорий                                                        (</t>
    </r>
    <r>
      <rPr>
        <i/>
        <sz val="10"/>
        <rFont val="Times New Roman"/>
        <family val="1"/>
      </rPr>
      <t>Адм. Вал.гор.округа)                                                                                                                               (0503 1310220550 244 226/2260404 Доп.ФК 05.03.20)</t>
    </r>
  </si>
  <si>
    <t>4.21.</t>
  </si>
  <si>
    <r>
      <t>Проведение проверки достоверности определения сметной стоимости по объекту "Ремонт помещения здания Центра культурного развития с.Шелаево филиала МУК "Дворец культуры и спорта Валуйского городского округа"                                                        (</t>
    </r>
    <r>
      <rPr>
        <i/>
        <sz val="10"/>
        <rFont val="Times New Roman"/>
        <family val="1"/>
      </rPr>
      <t>Адм. Вал.гор.округа)                                                                                                                               (0801 0830120550 244 226/2260404 Доп.ФК 08.01.03)</t>
    </r>
  </si>
  <si>
    <t>4.22.</t>
  </si>
  <si>
    <r>
      <t>Проведение проверки достоверности определения сметной стоимости по объекту "Капитальный ремонт кровли здания Центра культурного развития с.Шелаево филиала МУК "Дворец культуры и спорта Валуйского городского округа"                                                                                               (</t>
    </r>
    <r>
      <rPr>
        <i/>
        <sz val="10"/>
        <rFont val="Times New Roman"/>
        <family val="1"/>
      </rPr>
      <t>Адм. Вал.гор.округа)                                                                                                                               (0801 0830120550 244 226/2260404 Доп.ФК 08.01.03)</t>
    </r>
  </si>
  <si>
    <t>5.</t>
  </si>
  <si>
    <t xml:space="preserve">Обеспечение жильем молодых семей                                        ФЦП "Жилище" </t>
  </si>
  <si>
    <t>5.1.</t>
  </si>
  <si>
    <r>
      <t xml:space="preserve">Подпрограмма "Обеспечение жильем молодых семей" ФЦП "Жилище"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(1004 02106L4970 322 262/2620110   Доп.ФК 10.01.01)</t>
    </r>
  </si>
  <si>
    <t>6.</t>
  </si>
  <si>
    <t>Оплата текущего ремонта зданий                                                и сооружений</t>
  </si>
  <si>
    <t>6.1.</t>
  </si>
  <si>
    <t>Образование</t>
  </si>
  <si>
    <t>6.1.1.</t>
  </si>
  <si>
    <r>
      <t xml:space="preserve">Ремонт покрытия спортивной площадки с.Казинка Валуйского городского округа Белгородской области          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(0702 0720722110 244 225/2250502  Доп.ФК 07.01.02)</t>
    </r>
  </si>
  <si>
    <t>6.1.2.</t>
  </si>
  <si>
    <r>
      <t xml:space="preserve">Текущий ремонт теплотрассы на территории МОУ "Шелаевская СОШ" Валуйского городского округа Белгородской области, с.Шелаево, ул.Школьная,1                                                                                   </t>
    </r>
    <r>
      <rPr>
        <i/>
        <sz val="10"/>
        <rFont val="Times New Roman"/>
        <family val="1"/>
      </rPr>
      <t>(МОУ "Шелаевская СОШ")                                                                                              (0702 0720200590 244 241/2250504    Доп.ФК 07.01.02)</t>
    </r>
  </si>
  <si>
    <t>7.</t>
  </si>
  <si>
    <t>Приобретение оборудования</t>
  </si>
  <si>
    <t>7.1.</t>
  </si>
  <si>
    <t xml:space="preserve">Приобретение оборудования для объектов культуры </t>
  </si>
  <si>
    <t>7.1.1.</t>
  </si>
  <si>
    <r>
      <t xml:space="preserve">Обеспечение развития и укрепления материально-технической базы домов культуры в населенных пунктах с числом жителей  до 50 тысяч человек                     </t>
    </r>
    <r>
      <rPr>
        <i/>
        <sz val="10"/>
        <color indexed="8"/>
        <rFont val="Times New Roman"/>
        <family val="1"/>
      </rPr>
      <t xml:space="preserve">                                                (МУК "ДКиС")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(0801 08301L4670 244 310/3100304   Доп.ФК 08.01.03)</t>
    </r>
  </si>
  <si>
    <t>7.1.2.</t>
  </si>
  <si>
    <r>
      <t xml:space="preserve">Обеспечение качественно нового уровня развития инфраструктуры культуры" ("Культурная среда")                                             </t>
    </r>
    <r>
      <rPr>
        <i/>
        <sz val="10"/>
        <color indexed="8"/>
        <rFont val="Times New Roman"/>
        <family val="1"/>
      </rPr>
      <t xml:space="preserve">(МБУ ДО "ДШИ №2", МБУ ДО "УДШИ")        </t>
    </r>
    <r>
      <rPr>
        <sz val="10"/>
        <color indexed="8"/>
        <rFont val="Times New Roman"/>
        <family val="1"/>
      </rPr>
      <t xml:space="preserve">                                                                </t>
    </r>
    <r>
      <rPr>
        <i/>
        <sz val="10"/>
        <color indexed="8"/>
        <rFont val="Times New Roman"/>
        <family val="1"/>
      </rPr>
      <t>(0703 073А1А0000 612 241/3100304    Доп.ФК 07.01.05)</t>
    </r>
  </si>
  <si>
    <t>7.1.3</t>
  </si>
  <si>
    <r>
      <t xml:space="preserve">Цифровизация услуг и формирование информационного пространства в сфере культуры" ("Цифровая культура")                                                               </t>
    </r>
    <r>
      <rPr>
        <i/>
        <sz val="10"/>
        <color indexed="8"/>
        <rFont val="Times New Roman"/>
        <family val="1"/>
      </rPr>
      <t>(МУК "ДКиС")                                                                                 (0801 083А354530 244 310/3100304    Доп.ФК 08.01.03)</t>
    </r>
  </si>
  <si>
    <t>7.2.</t>
  </si>
  <si>
    <t>Приобретение оборудования для объектов образования</t>
  </si>
  <si>
    <t>7.2.1</t>
  </si>
  <si>
    <r>
      <t>Приобретение оборудования для  МДОУ "ЦРР-ДС</t>
    </r>
    <r>
      <rPr>
        <sz val="10"/>
        <color indexed="8"/>
        <rFont val="Times New Roman"/>
        <family val="1"/>
      </rPr>
      <t xml:space="preserve">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(0701 0710100590 611,612 241/3100304, 241/3460000, 241/3450000   Доп.ФК 07.01.01)</t>
    </r>
  </si>
  <si>
    <t>8.</t>
  </si>
  <si>
    <t>Ремонт шахтных колодцев</t>
  </si>
  <si>
    <t>8.1.</t>
  </si>
  <si>
    <r>
      <t xml:space="preserve">Текущий ремонт шахтных колодцев                     </t>
    </r>
    <r>
      <rPr>
        <i/>
        <sz val="10"/>
        <rFont val="Times New Roman"/>
        <family val="1"/>
      </rPr>
      <t xml:space="preserve">                                                (Адм. Вал. гор. округа)                                                                                                                                                                                         (0503 0220771440/02207S1440 244 226/2260200                Доп.ФК 05.03.20)</t>
    </r>
  </si>
  <si>
    <t>9.</t>
  </si>
  <si>
    <t>Создание эффективных механизмов в области обращения с твердыми коммунальными отходами</t>
  </si>
  <si>
    <t>9.1.</t>
  </si>
  <si>
    <r>
      <t xml:space="preserve">Устройство сетчатого ограждения контейнерных площадок Валуйского городского округа                                                                 </t>
    </r>
    <r>
      <rPr>
        <i/>
        <sz val="10"/>
        <rFont val="Times New Roman"/>
        <family val="1"/>
      </rPr>
      <t xml:space="preserve">      (Адм. Вал. гор. округа)                                                                                                                                                                                         (0605 0230121430 244 226/2260200   Доп.ФК 06.00.00)</t>
    </r>
  </si>
  <si>
    <t>10.</t>
  </si>
  <si>
    <t>Муниципальная программа "Формирование современной городской среды на территории Валуйского городского округа"</t>
  </si>
  <si>
    <t>10.1.</t>
  </si>
  <si>
    <r>
      <t xml:space="preserve">Благоустройство дворовых территорий многоквартирных домов, общественных и иных территорий соответствующего функционального назначения Валуйского городского округа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 гор. округа)      </t>
    </r>
    <r>
      <rPr>
        <i/>
        <sz val="10"/>
        <color indexed="10"/>
        <rFont val="Times New Roman"/>
        <family val="1"/>
      </rPr>
      <t xml:space="preserve">                                                                                                      </t>
    </r>
    <r>
      <rPr>
        <i/>
        <sz val="10"/>
        <rFont val="Times New Roman"/>
        <family val="1"/>
      </rPr>
      <t>(0503 131F255550 244 226/2260200  Доп.ФК 05.03.20)</t>
    </r>
  </si>
  <si>
    <t>11.</t>
  </si>
  <si>
    <t>Реализация мероприятий по созданию условий для повышения качества благоустройства городских и сельских территорий Белгородской области</t>
  </si>
  <si>
    <t>11.1.</t>
  </si>
  <si>
    <r>
      <t xml:space="preserve">Благоустройство общественной территории в г. Валуйки ул. 9 Января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(0503 0220871320/02208S1320 244 226/2260200                                                            Доп.ФК 05.03.20)</t>
    </r>
  </si>
  <si>
    <t>12.</t>
  </si>
  <si>
    <t>Реализация мероприятий по благоустройству общественных территорий</t>
  </si>
  <si>
    <t>12.1.</t>
  </si>
  <si>
    <r>
      <t xml:space="preserve">Благоустройство общественных территорий на территории Валуйского городского округа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(0503 1310271450 244 226/2260200  Доп.ФК 05.03.20)</t>
    </r>
  </si>
  <si>
    <t>13.</t>
  </si>
  <si>
    <t xml:space="preserve">Государственная программа Белгородской области "Развитие сельского хозяйства и рыбоводства в Белгородской области"   ("Комплексное развитие сельских территорий")  </t>
  </si>
  <si>
    <t>13.1.</t>
  </si>
  <si>
    <r>
      <t xml:space="preserve">Текущий ремонт шахтных колодцев в Валуйском городском округе (Шелаевская территория)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rFont val="Times New Roman"/>
        <family val="1"/>
      </rPr>
      <t>(0503 01601L5760 244 226/2260200  Доп.ФК 15.04.63)</t>
    </r>
  </si>
  <si>
    <t>13.2.</t>
  </si>
  <si>
    <r>
      <t xml:space="preserve">Благоустройство ул.Генерала Ватутина в с.Подгорное                                                            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(0503 01601L5760 244 226/2260200    Доп.ФК 15.04.64)</t>
    </r>
  </si>
  <si>
    <t>13.3.</t>
  </si>
  <si>
    <r>
      <t xml:space="preserve">Обустройство мест накопления ТКО в п.Уразово                                          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                                                  </t>
    </r>
    <r>
      <rPr>
        <i/>
        <sz val="10"/>
        <color indexed="10"/>
        <rFont val="Times New Roman"/>
        <family val="1"/>
      </rPr>
      <t xml:space="preserve">            </t>
    </r>
    <r>
      <rPr>
        <i/>
        <sz val="10"/>
        <rFont val="Times New Roman"/>
        <family val="1"/>
      </rPr>
      <t>(0503 01601L5760 244 226/2260200    Доп.ФК 15.04.65)</t>
    </r>
  </si>
  <si>
    <t>ИТОГО по всем программам:</t>
  </si>
  <si>
    <t xml:space="preserve">Заместитель главы администрации Валуйского городского округа  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</si>
  <si>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</si>
  <si>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>И.В. Кочетова</t>
  </si>
  <si>
    <t xml:space="preserve">начальник управления ЖКХ 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</si>
  <si>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</si>
  <si>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</si>
  <si>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</si>
  <si>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>Приложение к решению Совета депутатов Валуйского городского округа Белгородской области                                                           от " 29 " января 2021 г. №540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</si>
</sst>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35">
    <font>
      <sz val="10"/>
      <name val="Arial Cyr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7" borderId="1" applyNumberFormat="0" applyAlignment="0" applyProtection="0"/>
    <xf numFmtId="0" fontId="25" fillId="20" borderId="2" applyNumberFormat="0" applyAlignment="0" applyProtection="0"/>
    <xf numFmtId="0" fontId="2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21" borderId="0" applyNumberFormat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7" fillId="23" borderId="8" applyNumberForma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25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center" wrapText="1"/>
    </xf>
    <xf numFmtId="4" fontId="5" fillId="25" borderId="23" xfId="0" applyNumberFormat="1" applyFont="1" applyFill="1" applyBorder="1" applyAlignment="1">
      <alignment horizontal="center" vertical="center" wrapText="1"/>
    </xf>
    <xf numFmtId="0" fontId="5" fillId="25" borderId="2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176" fontId="5" fillId="25" borderId="27" xfId="0" applyNumberFormat="1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5" fillId="25" borderId="29" xfId="0" applyNumberFormat="1" applyFont="1" applyFill="1" applyBorder="1" applyAlignment="1">
      <alignment horizontal="center" vertical="center" wrapText="1"/>
    </xf>
    <xf numFmtId="176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4" fontId="5" fillId="25" borderId="15" xfId="0" applyNumberFormat="1" applyFont="1" applyFill="1" applyBorder="1" applyAlignment="1">
      <alignment horizontal="center" vertical="center" wrapText="1"/>
    </xf>
    <xf numFmtId="4" fontId="5" fillId="25" borderId="16" xfId="0" applyNumberFormat="1" applyFont="1" applyFill="1" applyBorder="1" applyAlignment="1">
      <alignment horizontal="center" vertical="center" wrapText="1"/>
    </xf>
    <xf numFmtId="176" fontId="5" fillId="25" borderId="24" xfId="0" applyNumberFormat="1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176" fontId="5" fillId="25" borderId="32" xfId="0" applyNumberFormat="1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25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176" fontId="5" fillId="25" borderId="2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4" fontId="5" fillId="25" borderId="22" xfId="0" applyNumberFormat="1" applyFont="1" applyFill="1" applyBorder="1" applyAlignment="1">
      <alignment horizontal="center" vertical="center" wrapText="1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4" fontId="5" fillId="25" borderId="37" xfId="0" applyNumberFormat="1" applyFont="1" applyFill="1" applyBorder="1" applyAlignment="1">
      <alignment horizontal="center" vertical="center" wrapText="1"/>
    </xf>
    <xf numFmtId="4" fontId="5" fillId="25" borderId="38" xfId="0" applyNumberFormat="1" applyFont="1" applyFill="1" applyBorder="1" applyAlignment="1">
      <alignment horizontal="center" vertical="center" wrapText="1"/>
    </xf>
    <xf numFmtId="0" fontId="0" fillId="25" borderId="39" xfId="0" applyFill="1" applyBorder="1" applyAlignment="1">
      <alignment/>
    </xf>
    <xf numFmtId="0" fontId="0" fillId="25" borderId="17" xfId="0" applyFill="1" applyBorder="1" applyAlignment="1">
      <alignment/>
    </xf>
    <xf numFmtId="0" fontId="5" fillId="0" borderId="21" xfId="0" applyNumberFormat="1" applyFont="1" applyFill="1" applyBorder="1" applyAlignment="1">
      <alignment horizontal="center" vertical="center" wrapText="1"/>
    </xf>
    <xf numFmtId="4" fontId="5" fillId="25" borderId="36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5" fillId="0" borderId="17" xfId="62" applyNumberFormat="1" applyFont="1" applyBorder="1" applyAlignment="1">
      <alignment horizontal="center" vertical="center" wrapText="1"/>
    </xf>
    <xf numFmtId="4" fontId="3" fillId="26" borderId="27" xfId="0" applyNumberFormat="1" applyFont="1" applyFill="1" applyBorder="1" applyAlignment="1">
      <alignment horizontal="center" vertical="center" wrapText="1"/>
    </xf>
    <xf numFmtId="4" fontId="3" fillId="26" borderId="4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5" fillId="0" borderId="41" xfId="62" applyNumberFormat="1" applyFont="1" applyBorder="1" applyAlignment="1">
      <alignment horizontal="center" vertical="center" wrapText="1"/>
    </xf>
    <xf numFmtId="4" fontId="3" fillId="26" borderId="31" xfId="0" applyNumberFormat="1" applyFont="1" applyFill="1" applyBorder="1" applyAlignment="1">
      <alignment horizontal="center" vertical="center" wrapText="1"/>
    </xf>
    <xf numFmtId="4" fontId="5" fillId="0" borderId="36" xfId="62" applyNumberFormat="1" applyFont="1" applyBorder="1" applyAlignment="1">
      <alignment horizontal="center" vertical="center" wrapText="1"/>
    </xf>
    <xf numFmtId="4" fontId="7" fillId="25" borderId="23" xfId="0" applyNumberFormat="1" applyFont="1" applyFill="1" applyBorder="1" applyAlignment="1">
      <alignment horizontal="center" vertical="center" wrapText="1"/>
    </xf>
    <xf numFmtId="4" fontId="6" fillId="0" borderId="36" xfId="62" applyNumberFormat="1" applyFont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5" fillId="0" borderId="43" xfId="43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25" borderId="4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4" fontId="7" fillId="25" borderId="46" xfId="0" applyNumberFormat="1" applyFont="1" applyFill="1" applyBorder="1" applyAlignment="1">
      <alignment horizontal="center" vertical="center" wrapText="1"/>
    </xf>
    <xf numFmtId="4" fontId="7" fillId="25" borderId="2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7" fillId="25" borderId="16" xfId="0" applyNumberFormat="1" applyFont="1" applyFill="1" applyBorder="1" applyAlignment="1">
      <alignment horizontal="center" vertical="center" wrapText="1"/>
    </xf>
    <xf numFmtId="4" fontId="7" fillId="25" borderId="16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25" borderId="23" xfId="0" applyNumberFormat="1" applyFont="1" applyFill="1" applyBorder="1" applyAlignment="1">
      <alignment horizontal="center" vertical="center" wrapText="1"/>
    </xf>
    <xf numFmtId="4" fontId="7" fillId="25" borderId="46" xfId="0" applyNumberFormat="1" applyFont="1" applyFill="1" applyBorder="1" applyAlignment="1">
      <alignment horizontal="center" vertical="center" wrapText="1"/>
    </xf>
    <xf numFmtId="4" fontId="7" fillId="25" borderId="29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26" borderId="32" xfId="0" applyNumberFormat="1" applyFont="1" applyFill="1" applyBorder="1" applyAlignment="1">
      <alignment horizontal="center" vertical="center" wrapText="1"/>
    </xf>
    <xf numFmtId="4" fontId="7" fillId="25" borderId="50" xfId="0" applyNumberFormat="1" applyFont="1" applyFill="1" applyBorder="1" applyAlignment="1">
      <alignment horizontal="center" vertical="center" wrapText="1"/>
    </xf>
    <xf numFmtId="4" fontId="7" fillId="25" borderId="34" xfId="0" applyNumberFormat="1" applyFont="1" applyFill="1" applyBorder="1" applyAlignment="1">
      <alignment horizontal="center" vertical="center" wrapText="1"/>
    </xf>
    <xf numFmtId="4" fontId="5" fillId="0" borderId="35" xfId="43" applyNumberFormat="1" applyFont="1" applyFill="1" applyBorder="1" applyAlignment="1">
      <alignment horizontal="center" vertical="center" wrapText="1"/>
    </xf>
    <xf numFmtId="4" fontId="7" fillId="25" borderId="36" xfId="0" applyNumberFormat="1" applyFont="1" applyFill="1" applyBorder="1" applyAlignment="1">
      <alignment horizontal="center" vertical="center" wrapText="1"/>
    </xf>
    <xf numFmtId="4" fontId="5" fillId="0" borderId="39" xfId="43" applyNumberFormat="1" applyFont="1" applyFill="1" applyBorder="1" applyAlignment="1">
      <alignment horizontal="center" vertical="center" wrapText="1"/>
    </xf>
    <xf numFmtId="4" fontId="3" fillId="26" borderId="24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5" fillId="25" borderId="35" xfId="43" applyNumberFormat="1" applyFont="1" applyFill="1" applyBorder="1" applyAlignment="1">
      <alignment horizontal="center" vertical="center" wrapText="1"/>
    </xf>
    <xf numFmtId="4" fontId="3" fillId="26" borderId="31" xfId="0" applyNumberFormat="1" applyFont="1" applyFill="1" applyBorder="1" applyAlignment="1">
      <alignment horizontal="center" vertical="center" wrapText="1"/>
    </xf>
    <xf numFmtId="4" fontId="7" fillId="25" borderId="23" xfId="0" applyNumberFormat="1" applyFont="1" applyFill="1" applyBorder="1" applyAlignment="1">
      <alignment horizontal="center" vertical="center" wrapText="1"/>
    </xf>
    <xf numFmtId="4" fontId="5" fillId="25" borderId="39" xfId="43" applyNumberFormat="1" applyFont="1" applyFill="1" applyBorder="1" applyAlignment="1">
      <alignment horizontal="center" vertical="center" wrapText="1"/>
    </xf>
    <xf numFmtId="4" fontId="3" fillId="26" borderId="24" xfId="0" applyNumberFormat="1" applyFont="1" applyFill="1" applyBorder="1" applyAlignment="1">
      <alignment horizontal="center" vertical="center" wrapText="1"/>
    </xf>
    <xf numFmtId="4" fontId="7" fillId="25" borderId="38" xfId="0" applyNumberFormat="1" applyFont="1" applyFill="1" applyBorder="1" applyAlignment="1">
      <alignment horizontal="center" vertical="center" wrapText="1"/>
    </xf>
    <xf numFmtId="4" fontId="7" fillId="25" borderId="17" xfId="0" applyNumberFormat="1" applyFont="1" applyFill="1" applyBorder="1" applyAlignment="1">
      <alignment horizontal="center" vertical="center" wrapText="1"/>
    </xf>
    <xf numFmtId="4" fontId="7" fillId="25" borderId="36" xfId="0" applyNumberFormat="1" applyFont="1" applyFill="1" applyBorder="1" applyAlignment="1">
      <alignment horizontal="center" vertical="center" wrapText="1"/>
    </xf>
    <xf numFmtId="4" fontId="7" fillId="25" borderId="17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 vertical="center" wrapText="1"/>
    </xf>
    <xf numFmtId="4" fontId="7" fillId="25" borderId="35" xfId="0" applyNumberFormat="1" applyFont="1" applyFill="1" applyBorder="1" applyAlignment="1">
      <alignment horizontal="center" vertical="center" wrapText="1"/>
    </xf>
    <xf numFmtId="4" fontId="3" fillId="25" borderId="24" xfId="0" applyNumberFormat="1" applyFont="1" applyFill="1" applyBorder="1" applyAlignment="1">
      <alignment horizontal="center" vertical="center" wrapText="1"/>
    </xf>
    <xf numFmtId="4" fontId="5" fillId="0" borderId="52" xfId="43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26" borderId="53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25" borderId="31" xfId="0" applyNumberFormat="1" applyFont="1" applyFill="1" applyBorder="1" applyAlignment="1">
      <alignment horizontal="center" vertical="center" wrapText="1"/>
    </xf>
    <xf numFmtId="176" fontId="8" fillId="25" borderId="57" xfId="0" applyNumberFormat="1" applyFont="1" applyFill="1" applyBorder="1" applyAlignment="1">
      <alignment horizontal="center" vertical="center" wrapText="1"/>
    </xf>
    <xf numFmtId="0" fontId="5" fillId="25" borderId="57" xfId="0" applyFont="1" applyFill="1" applyBorder="1" applyAlignment="1">
      <alignment horizontal="center" vertical="center" wrapText="1"/>
    </xf>
    <xf numFmtId="4" fontId="5" fillId="25" borderId="58" xfId="0" applyNumberFormat="1" applyFont="1" applyFill="1" applyBorder="1" applyAlignment="1">
      <alignment horizontal="center" vertical="center" wrapText="1"/>
    </xf>
    <xf numFmtId="4" fontId="5" fillId="25" borderId="59" xfId="0" applyNumberFormat="1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 wrapText="1"/>
    </xf>
    <xf numFmtId="176" fontId="3" fillId="0" borderId="57" xfId="0" applyNumberFormat="1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176" fontId="8" fillId="25" borderId="18" xfId="0" applyNumberFormat="1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176" fontId="8" fillId="25" borderId="31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76" fontId="8" fillId="0" borderId="62" xfId="0" applyNumberFormat="1" applyFont="1" applyFill="1" applyBorder="1" applyAlignment="1">
      <alignment horizontal="center" vertical="center" wrapText="1"/>
    </xf>
    <xf numFmtId="0" fontId="10" fillId="25" borderId="63" xfId="0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176" fontId="8" fillId="0" borderId="66" xfId="0" applyNumberFormat="1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4" fontId="5" fillId="25" borderId="67" xfId="0" applyNumberFormat="1" applyFont="1" applyFill="1" applyBorder="1" applyAlignment="1">
      <alignment horizontal="center" vertical="center" wrapText="1"/>
    </xf>
    <xf numFmtId="4" fontId="5" fillId="25" borderId="68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176" fontId="8" fillId="0" borderId="69" xfId="0" applyNumberFormat="1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4" fontId="5" fillId="25" borderId="70" xfId="0" applyNumberFormat="1" applyFont="1" applyFill="1" applyBorder="1" applyAlignment="1">
      <alignment horizontal="center" vertical="center" wrapText="1"/>
    </xf>
    <xf numFmtId="4" fontId="5" fillId="25" borderId="50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176" fontId="8" fillId="0" borderId="71" xfId="0" applyNumberFormat="1" applyFont="1" applyFill="1" applyBorder="1" applyAlignment="1">
      <alignment horizontal="center" vertical="center" wrapText="1"/>
    </xf>
    <xf numFmtId="0" fontId="5" fillId="25" borderId="72" xfId="0" applyFont="1" applyFill="1" applyBorder="1" applyAlignment="1">
      <alignment horizontal="center" vertical="center" wrapText="1"/>
    </xf>
    <xf numFmtId="4" fontId="5" fillId="0" borderId="73" xfId="0" applyNumberFormat="1" applyFont="1" applyFill="1" applyBorder="1" applyAlignment="1">
      <alignment horizontal="center" vertical="center" wrapText="1"/>
    </xf>
    <xf numFmtId="4" fontId="5" fillId="0" borderId="74" xfId="0" applyNumberFormat="1" applyFont="1" applyFill="1" applyBorder="1" applyAlignment="1">
      <alignment horizontal="center" vertical="center" wrapText="1"/>
    </xf>
    <xf numFmtId="4" fontId="3" fillId="0" borderId="75" xfId="0" applyNumberFormat="1" applyFont="1" applyFill="1" applyBorder="1" applyAlignment="1">
      <alignment horizontal="center" vertical="center" wrapText="1"/>
    </xf>
    <xf numFmtId="176" fontId="8" fillId="0" borderId="76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5" fillId="25" borderId="20" xfId="0" applyNumberFormat="1" applyFont="1" applyFill="1" applyBorder="1" applyAlignment="1">
      <alignment horizontal="center" vertical="center" wrapText="1"/>
    </xf>
    <xf numFmtId="176" fontId="8" fillId="0" borderId="77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25" borderId="48" xfId="0" applyNumberFormat="1" applyFont="1" applyFill="1" applyBorder="1" applyAlignment="1">
      <alignment horizontal="center" vertical="center" wrapText="1"/>
    </xf>
    <xf numFmtId="176" fontId="8" fillId="0" borderId="78" xfId="0" applyNumberFormat="1" applyFont="1" applyFill="1" applyBorder="1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 wrapText="1"/>
    </xf>
    <xf numFmtId="4" fontId="5" fillId="0" borderId="79" xfId="0" applyNumberFormat="1" applyFont="1" applyFill="1" applyBorder="1" applyAlignment="1">
      <alignment horizontal="center" vertical="center" wrapText="1"/>
    </xf>
    <xf numFmtId="4" fontId="5" fillId="25" borderId="79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5" fillId="0" borderId="80" xfId="43" applyNumberFormat="1" applyFont="1" applyFill="1" applyBorder="1" applyAlignment="1">
      <alignment horizontal="center" vertical="center" wrapText="1"/>
    </xf>
    <xf numFmtId="4" fontId="3" fillId="26" borderId="18" xfId="0" applyNumberFormat="1" applyFont="1" applyFill="1" applyBorder="1" applyAlignment="1">
      <alignment horizontal="center" vertical="center" wrapText="1"/>
    </xf>
    <xf numFmtId="4" fontId="7" fillId="25" borderId="59" xfId="0" applyNumberFormat="1" applyFont="1" applyFill="1" applyBorder="1" applyAlignment="1">
      <alignment horizontal="center" vertical="center" wrapText="1"/>
    </xf>
    <xf numFmtId="4" fontId="3" fillId="26" borderId="57" xfId="0" applyNumberFormat="1" applyFont="1" applyFill="1" applyBorder="1" applyAlignment="1">
      <alignment horizontal="center" vertical="center" wrapText="1"/>
    </xf>
    <xf numFmtId="4" fontId="3" fillId="0" borderId="81" xfId="0" applyNumberFormat="1" applyFont="1" applyFill="1" applyBorder="1" applyAlignment="1">
      <alignment horizontal="center" vertical="center" wrapText="1"/>
    </xf>
    <xf numFmtId="4" fontId="3" fillId="0" borderId="82" xfId="0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5" fillId="0" borderId="83" xfId="43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4" fontId="5" fillId="0" borderId="84" xfId="43" applyNumberFormat="1" applyFont="1" applyFill="1" applyBorder="1" applyAlignment="1">
      <alignment horizontal="center" vertical="center" wrapText="1"/>
    </xf>
    <xf numFmtId="4" fontId="3" fillId="26" borderId="63" xfId="0" applyNumberFormat="1" applyFont="1" applyFill="1" applyBorder="1" applyAlignment="1">
      <alignment horizontal="center" vertical="center" wrapText="1"/>
    </xf>
    <xf numFmtId="4" fontId="7" fillId="0" borderId="64" xfId="0" applyNumberFormat="1" applyFont="1" applyFill="1" applyBorder="1" applyAlignment="1">
      <alignment horizontal="center" vertical="center" wrapText="1"/>
    </xf>
    <xf numFmtId="4" fontId="7" fillId="0" borderId="65" xfId="0" applyNumberFormat="1" applyFont="1" applyFill="1" applyBorder="1" applyAlignment="1">
      <alignment horizontal="center" vertical="center" wrapText="1"/>
    </xf>
    <xf numFmtId="4" fontId="5" fillId="0" borderId="85" xfId="43" applyNumberFormat="1" applyFont="1" applyFill="1" applyBorder="1" applyAlignment="1">
      <alignment horizontal="center" vertical="center" wrapText="1"/>
    </xf>
    <xf numFmtId="4" fontId="7" fillId="0" borderId="67" xfId="0" applyNumberFormat="1" applyFont="1" applyFill="1" applyBorder="1" applyAlignment="1">
      <alignment horizontal="center" vertical="center" wrapText="1"/>
    </xf>
    <xf numFmtId="4" fontId="7" fillId="0" borderId="68" xfId="0" applyNumberFormat="1" applyFont="1" applyFill="1" applyBorder="1" applyAlignment="1">
      <alignment horizontal="center" vertical="center" wrapText="1"/>
    </xf>
    <xf numFmtId="4" fontId="5" fillId="0" borderId="86" xfId="43" applyNumberFormat="1" applyFont="1" applyFill="1" applyBorder="1" applyAlignment="1">
      <alignment horizontal="center" vertical="center" wrapText="1"/>
    </xf>
    <xf numFmtId="4" fontId="7" fillId="0" borderId="70" xfId="0" applyNumberFormat="1" applyFont="1" applyFill="1" applyBorder="1" applyAlignment="1">
      <alignment horizontal="center" vertical="center" wrapText="1"/>
    </xf>
    <xf numFmtId="4" fontId="7" fillId="0" borderId="50" xfId="0" applyNumberFormat="1" applyFont="1" applyFill="1" applyBorder="1" applyAlignment="1">
      <alignment horizontal="center" vertical="center" wrapText="1"/>
    </xf>
    <xf numFmtId="4" fontId="5" fillId="0" borderId="87" xfId="43" applyNumberFormat="1" applyFont="1" applyFill="1" applyBorder="1" applyAlignment="1">
      <alignment horizontal="center" vertical="center" wrapText="1"/>
    </xf>
    <xf numFmtId="4" fontId="3" fillId="26" borderId="72" xfId="0" applyNumberFormat="1" applyFont="1" applyFill="1" applyBorder="1" applyAlignment="1">
      <alignment horizontal="center" vertical="center" wrapText="1"/>
    </xf>
    <xf numFmtId="4" fontId="7" fillId="0" borderId="73" xfId="0" applyNumberFormat="1" applyFont="1" applyFill="1" applyBorder="1" applyAlignment="1">
      <alignment horizontal="center" vertical="center" wrapText="1"/>
    </xf>
    <xf numFmtId="4" fontId="7" fillId="0" borderId="74" xfId="0" applyNumberFormat="1" applyFont="1" applyFill="1" applyBorder="1" applyAlignment="1">
      <alignment horizontal="center" vertical="center" wrapText="1"/>
    </xf>
    <xf numFmtId="4" fontId="7" fillId="0" borderId="74" xfId="0" applyNumberFormat="1" applyFont="1" applyFill="1" applyBorder="1" applyAlignment="1">
      <alignment horizontal="center" vertical="center" wrapText="1"/>
    </xf>
    <xf numFmtId="4" fontId="7" fillId="0" borderId="88" xfId="0" applyNumberFormat="1" applyFont="1" applyFill="1" applyBorder="1" applyAlignment="1">
      <alignment horizontal="center" vertical="center" wrapText="1"/>
    </xf>
    <xf numFmtId="4" fontId="7" fillId="25" borderId="20" xfId="0" applyNumberFormat="1" applyFont="1" applyFill="1" applyBorder="1" applyAlignment="1">
      <alignment horizontal="center" vertical="center" wrapText="1"/>
    </xf>
    <xf numFmtId="4" fontId="5" fillId="0" borderId="89" xfId="43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7" fillId="0" borderId="79" xfId="0" applyNumberFormat="1" applyFont="1" applyFill="1" applyBorder="1" applyAlignment="1">
      <alignment horizontal="center" vertical="center" wrapText="1"/>
    </xf>
    <xf numFmtId="4" fontId="7" fillId="0" borderId="7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90" xfId="0" applyNumberFormat="1" applyFont="1" applyFill="1" applyBorder="1" applyAlignment="1">
      <alignment horizontal="center" vertical="center" wrapText="1"/>
    </xf>
    <xf numFmtId="4" fontId="3" fillId="0" borderId="91" xfId="0" applyNumberFormat="1" applyFont="1" applyFill="1" applyBorder="1" applyAlignment="1">
      <alignment horizontal="center" vertical="center" wrapText="1"/>
    </xf>
    <xf numFmtId="4" fontId="7" fillId="0" borderId="84" xfId="43" applyNumberFormat="1" applyFont="1" applyFill="1" applyBorder="1" applyAlignment="1">
      <alignment horizontal="center" vertical="center" wrapText="1"/>
    </xf>
    <xf numFmtId="4" fontId="3" fillId="0" borderId="92" xfId="0" applyNumberFormat="1" applyFont="1" applyFill="1" applyBorder="1" applyAlignment="1">
      <alignment horizontal="center" vertical="center" wrapText="1"/>
    </xf>
    <xf numFmtId="4" fontId="7" fillId="0" borderId="85" xfId="43" applyNumberFormat="1" applyFont="1" applyFill="1" applyBorder="1" applyAlignment="1">
      <alignment horizontal="center" vertical="center" wrapText="1"/>
    </xf>
    <xf numFmtId="4" fontId="3" fillId="26" borderId="21" xfId="0" applyNumberFormat="1" applyFont="1" applyFill="1" applyBorder="1" applyAlignment="1">
      <alignment horizontal="center" vertical="center" wrapText="1"/>
    </xf>
    <xf numFmtId="4" fontId="3" fillId="0" borderId="93" xfId="0" applyNumberFormat="1" applyFont="1" applyFill="1" applyBorder="1" applyAlignment="1">
      <alignment horizontal="center" vertical="center" wrapText="1"/>
    </xf>
    <xf numFmtId="4" fontId="7" fillId="0" borderId="86" xfId="43" applyNumberFormat="1" applyFont="1" applyFill="1" applyBorder="1" applyAlignment="1">
      <alignment horizontal="center" vertical="center" wrapText="1"/>
    </xf>
    <xf numFmtId="4" fontId="3" fillId="0" borderId="94" xfId="0" applyNumberFormat="1" applyFont="1" applyFill="1" applyBorder="1" applyAlignment="1">
      <alignment horizontal="center" vertical="center" wrapText="1"/>
    </xf>
    <xf numFmtId="4" fontId="7" fillId="0" borderId="87" xfId="43" applyNumberFormat="1" applyFont="1" applyFill="1" applyBorder="1" applyAlignment="1">
      <alignment horizontal="center" vertical="center" wrapText="1"/>
    </xf>
    <xf numFmtId="4" fontId="7" fillId="0" borderId="0" xfId="43" applyNumberFormat="1" applyFont="1" applyFill="1" applyBorder="1" applyAlignment="1">
      <alignment horizontal="center" vertical="center" wrapText="1"/>
    </xf>
    <xf numFmtId="4" fontId="3" fillId="0" borderId="95" xfId="0" applyNumberFormat="1" applyFont="1" applyFill="1" applyBorder="1" applyAlignment="1">
      <alignment horizontal="center" vertical="center" wrapText="1"/>
    </xf>
    <xf numFmtId="4" fontId="7" fillId="0" borderId="0" xfId="43" applyNumberFormat="1" applyFont="1" applyFill="1" applyBorder="1" applyAlignment="1">
      <alignment horizontal="center" vertical="center" wrapText="1"/>
    </xf>
    <xf numFmtId="4" fontId="3" fillId="0" borderId="96" xfId="0" applyNumberFormat="1" applyFont="1" applyFill="1" applyBorder="1" applyAlignment="1">
      <alignment horizontal="center" vertical="center" wrapText="1"/>
    </xf>
    <xf numFmtId="4" fontId="7" fillId="0" borderId="89" xfId="43" applyNumberFormat="1" applyFont="1" applyFill="1" applyBorder="1" applyAlignment="1">
      <alignment horizontal="center" vertical="center" wrapText="1"/>
    </xf>
    <xf numFmtId="4" fontId="7" fillId="0" borderId="0" xfId="43" applyNumberFormat="1" applyFont="1" applyFill="1" applyBorder="1" applyAlignment="1">
      <alignment horizontal="center" vertical="center" wrapText="1"/>
    </xf>
    <xf numFmtId="4" fontId="3" fillId="0" borderId="72" xfId="0" applyNumberFormat="1" applyFont="1" applyFill="1" applyBorder="1" applyAlignment="1">
      <alignment horizontal="center" vertical="center" wrapText="1"/>
    </xf>
    <xf numFmtId="4" fontId="7" fillId="0" borderId="35" xfId="43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89" xfId="53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 horizontal="left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49" fontId="3" fillId="0" borderId="32" xfId="53" applyNumberFormat="1" applyFont="1" applyFill="1" applyBorder="1" applyAlignment="1">
      <alignment horizontal="center" vertical="center" wrapText="1"/>
      <protection/>
    </xf>
    <xf numFmtId="0" fontId="3" fillId="0" borderId="27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32" xfId="53" applyFont="1" applyFill="1" applyBorder="1" applyAlignment="1">
      <alignment horizontal="center" vertical="center" wrapText="1"/>
      <protection/>
    </xf>
    <xf numFmtId="0" fontId="3" fillId="0" borderId="97" xfId="53" applyFont="1" applyFill="1" applyBorder="1" applyAlignment="1">
      <alignment horizontal="center" vertical="center" wrapText="1"/>
      <protection/>
    </xf>
    <xf numFmtId="0" fontId="3" fillId="0" borderId="98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2" fontId="3" fillId="0" borderId="43" xfId="45" applyNumberFormat="1" applyFont="1" applyFill="1" applyBorder="1" applyAlignment="1">
      <alignment horizontal="center" vertical="center" wrapText="1"/>
    </xf>
    <xf numFmtId="2" fontId="3" fillId="0" borderId="56" xfId="45" applyNumberFormat="1" applyFont="1" applyFill="1" applyBorder="1" applyAlignment="1">
      <alignment horizontal="center" vertical="center" wrapText="1"/>
    </xf>
    <xf numFmtId="0" fontId="3" fillId="26" borderId="57" xfId="53" applyFont="1" applyFill="1" applyBorder="1" applyAlignment="1">
      <alignment horizontal="center" vertical="center" wrapText="1"/>
      <protection/>
    </xf>
    <xf numFmtId="0" fontId="3" fillId="26" borderId="18" xfId="53" applyFont="1" applyFill="1" applyBorder="1" applyAlignment="1">
      <alignment horizontal="center" vertical="center" wrapText="1"/>
      <protection/>
    </xf>
    <xf numFmtId="0" fontId="3" fillId="26" borderId="53" xfId="53" applyFont="1" applyFill="1" applyBorder="1" applyAlignment="1">
      <alignment horizontal="center" vertical="center" wrapText="1"/>
      <protection/>
    </xf>
    <xf numFmtId="0" fontId="3" fillId="0" borderId="43" xfId="53" applyFont="1" applyFill="1" applyBorder="1" applyAlignment="1">
      <alignment horizontal="center" vertical="center" wrapText="1"/>
      <protection/>
    </xf>
    <xf numFmtId="0" fontId="3" fillId="0" borderId="56" xfId="53" applyFont="1" applyFill="1" applyBorder="1" applyAlignment="1">
      <alignment horizontal="center" vertical="center" wrapText="1"/>
      <protection/>
    </xf>
    <xf numFmtId="0" fontId="3" fillId="0" borderId="5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Итого" xfId="51"/>
    <cellStyle name="Нейтральный" xfId="52"/>
    <cellStyle name="Обычный_Лист1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SheetLayoutView="100" workbookViewId="0" topLeftCell="D1">
      <selection activeCell="R16" sqref="R16"/>
    </sheetView>
  </sheetViews>
  <sheetFormatPr defaultColWidth="9.125" defaultRowHeight="12.75"/>
  <cols>
    <col min="1" max="1" width="6.00390625" style="0" customWidth="1"/>
    <col min="2" max="2" width="48.25390625" style="0" customWidth="1"/>
    <col min="3" max="3" width="10.00390625" style="0" customWidth="1"/>
    <col min="4" max="4" width="11.375" style="0" customWidth="1"/>
    <col min="5" max="5" width="11.00390625" style="0" customWidth="1"/>
    <col min="6" max="6" width="9.00390625" style="0" customWidth="1"/>
    <col min="7" max="7" width="7.25390625" style="0" customWidth="1"/>
    <col min="8" max="9" width="7.875" style="0" customWidth="1"/>
    <col min="10" max="10" width="9.375" style="0" customWidth="1"/>
    <col min="11" max="11" width="12.625" style="0" customWidth="1"/>
    <col min="12" max="12" width="10.375" style="0" customWidth="1"/>
    <col min="13" max="13" width="10.75390625" style="0" customWidth="1"/>
    <col min="14" max="14" width="11.00390625" style="0" customWidth="1"/>
    <col min="15" max="15" width="9.00390625" style="0" customWidth="1"/>
    <col min="16" max="16" width="7.375" style="0" customWidth="1"/>
    <col min="17" max="17" width="8.75390625" style="0" customWidth="1"/>
    <col min="18" max="18" width="7.875" style="0" customWidth="1"/>
    <col min="19" max="19" width="9.75390625" style="0" customWidth="1"/>
    <col min="20" max="20" width="12.375" style="0" customWidth="1"/>
    <col min="21" max="21" width="12.75390625" style="0" customWidth="1"/>
  </cols>
  <sheetData>
    <row r="1" spans="18:21" ht="12.75">
      <c r="R1" s="263" t="s">
        <v>179</v>
      </c>
      <c r="S1" s="263"/>
      <c r="T1" s="263"/>
      <c r="U1" s="263"/>
    </row>
    <row r="2" spans="18:21" ht="12.75">
      <c r="R2" s="263"/>
      <c r="S2" s="263"/>
      <c r="T2" s="263"/>
      <c r="U2" s="263"/>
    </row>
    <row r="3" spans="18:21" ht="12.75">
      <c r="R3" s="263"/>
      <c r="S3" s="263"/>
      <c r="T3" s="263"/>
      <c r="U3" s="263"/>
    </row>
    <row r="4" spans="18:21" ht="12.75">
      <c r="R4" s="263"/>
      <c r="S4" s="263"/>
      <c r="T4" s="263"/>
      <c r="U4" s="263"/>
    </row>
    <row r="5" spans="18:21" ht="12.75">
      <c r="R5" s="263"/>
      <c r="S5" s="263"/>
      <c r="T5" s="263"/>
      <c r="U5" s="263"/>
    </row>
    <row r="6" spans="18:21" ht="12.75">
      <c r="R6" s="263"/>
      <c r="S6" s="263"/>
      <c r="T6" s="263"/>
      <c r="U6" s="263"/>
    </row>
    <row r="7" spans="18:21" ht="12.75">
      <c r="R7" s="263"/>
      <c r="S7" s="263"/>
      <c r="T7" s="263"/>
      <c r="U7" s="263"/>
    </row>
    <row r="8" spans="18:21" ht="12.75">
      <c r="R8" s="263"/>
      <c r="S8" s="263"/>
      <c r="T8" s="263"/>
      <c r="U8" s="263"/>
    </row>
    <row r="9" spans="1:21" ht="15.75">
      <c r="A9" s="237" t="s">
        <v>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1:21" ht="15.75">
      <c r="A10" s="237" t="s">
        <v>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</row>
    <row r="12" spans="1:21" ht="15" customHeight="1">
      <c r="A12" s="243" t="s">
        <v>2</v>
      </c>
      <c r="B12" s="246" t="s">
        <v>3</v>
      </c>
      <c r="C12" s="238" t="s">
        <v>4</v>
      </c>
      <c r="D12" s="239"/>
      <c r="E12" s="239"/>
      <c r="F12" s="239"/>
      <c r="G12" s="239"/>
      <c r="H12" s="239"/>
      <c r="I12" s="239"/>
      <c r="J12" s="239"/>
      <c r="K12" s="255" t="s">
        <v>5</v>
      </c>
      <c r="L12" s="239" t="s">
        <v>6</v>
      </c>
      <c r="M12" s="239"/>
      <c r="N12" s="239"/>
      <c r="O12" s="239"/>
      <c r="P12" s="239"/>
      <c r="Q12" s="239"/>
      <c r="R12" s="239"/>
      <c r="S12" s="239"/>
      <c r="T12" s="255" t="s">
        <v>5</v>
      </c>
      <c r="U12" s="260" t="s">
        <v>7</v>
      </c>
    </row>
    <row r="13" spans="1:21" ht="15.75" customHeight="1">
      <c r="A13" s="244"/>
      <c r="B13" s="247"/>
      <c r="C13" s="249" t="s">
        <v>8</v>
      </c>
      <c r="D13" s="246" t="s">
        <v>9</v>
      </c>
      <c r="E13" s="238" t="s">
        <v>10</v>
      </c>
      <c r="F13" s="239"/>
      <c r="G13" s="251" t="s">
        <v>11</v>
      </c>
      <c r="H13" s="246" t="s">
        <v>12</v>
      </c>
      <c r="I13" s="243" t="s">
        <v>13</v>
      </c>
      <c r="J13" s="253" t="s">
        <v>14</v>
      </c>
      <c r="K13" s="256"/>
      <c r="L13" s="258" t="s">
        <v>8</v>
      </c>
      <c r="M13" s="246" t="s">
        <v>9</v>
      </c>
      <c r="N13" s="238" t="s">
        <v>10</v>
      </c>
      <c r="O13" s="239"/>
      <c r="P13" s="251" t="s">
        <v>11</v>
      </c>
      <c r="Q13" s="246" t="s">
        <v>12</v>
      </c>
      <c r="R13" s="243" t="s">
        <v>13</v>
      </c>
      <c r="S13" s="253" t="s">
        <v>15</v>
      </c>
      <c r="T13" s="256"/>
      <c r="U13" s="261"/>
    </row>
    <row r="14" spans="1:21" ht="72.75" customHeight="1">
      <c r="A14" s="245"/>
      <c r="B14" s="248"/>
      <c r="C14" s="250"/>
      <c r="D14" s="248"/>
      <c r="E14" s="2" t="s">
        <v>16</v>
      </c>
      <c r="F14" s="1" t="s">
        <v>17</v>
      </c>
      <c r="G14" s="252"/>
      <c r="H14" s="248"/>
      <c r="I14" s="245"/>
      <c r="J14" s="254"/>
      <c r="K14" s="257"/>
      <c r="L14" s="259"/>
      <c r="M14" s="248"/>
      <c r="N14" s="2" t="s">
        <v>16</v>
      </c>
      <c r="O14" s="1" t="s">
        <v>17</v>
      </c>
      <c r="P14" s="252"/>
      <c r="Q14" s="248"/>
      <c r="R14" s="245"/>
      <c r="S14" s="254"/>
      <c r="T14" s="257"/>
      <c r="U14" s="262"/>
    </row>
    <row r="15" spans="1:21" ht="23.25" customHeight="1">
      <c r="A15" s="3" t="s">
        <v>18</v>
      </c>
      <c r="B15" s="4" t="s">
        <v>19</v>
      </c>
      <c r="C15" s="5">
        <f aca="true" t="shared" si="0" ref="C15:J15">C16+C17+C19+C18+C20+C21+C22+C23+C24</f>
        <v>0</v>
      </c>
      <c r="D15" s="5">
        <f t="shared" si="0"/>
        <v>35095</v>
      </c>
      <c r="E15" s="5">
        <f t="shared" si="0"/>
        <v>3467.735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24635</v>
      </c>
      <c r="K15" s="58">
        <f>SUM(C15:J15)</f>
        <v>63197.735</v>
      </c>
      <c r="L15" s="5">
        <f aca="true" t="shared" si="1" ref="L15:S15">L16+L17+L19+L18+L20+L21+L22+L23+L24</f>
        <v>0</v>
      </c>
      <c r="M15" s="5">
        <f t="shared" si="1"/>
        <v>35095</v>
      </c>
      <c r="N15" s="5">
        <f t="shared" si="1"/>
        <v>3467.735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17888.52709</v>
      </c>
      <c r="T15" s="58">
        <f>SUM(L15:S15)</f>
        <v>56451.262090000004</v>
      </c>
      <c r="U15" s="22">
        <f>K15-T15</f>
        <v>6746.472909999997</v>
      </c>
    </row>
    <row r="16" spans="1:21" ht="57.75" customHeight="1">
      <c r="A16" s="6" t="s">
        <v>20</v>
      </c>
      <c r="B16" s="7" t="s">
        <v>21</v>
      </c>
      <c r="C16" s="8"/>
      <c r="D16" s="9"/>
      <c r="E16" s="9"/>
      <c r="F16" s="9"/>
      <c r="G16" s="9"/>
      <c r="H16" s="9"/>
      <c r="I16" s="9"/>
      <c r="J16" s="59">
        <f>25434-130-4500+247.9334-2277+288-30</f>
        <v>19032.9334</v>
      </c>
      <c r="K16" s="60">
        <f>SUM(C16:J16)</f>
        <v>19032.9334</v>
      </c>
      <c r="L16" s="9"/>
      <c r="M16" s="9"/>
      <c r="N16" s="9"/>
      <c r="O16" s="9"/>
      <c r="P16" s="9"/>
      <c r="Q16" s="9"/>
      <c r="R16" s="9"/>
      <c r="S16" s="99">
        <f>1434.88422+248+744+1736+2338.80622+3508.32598+5973.00257</f>
        <v>15983.01899</v>
      </c>
      <c r="T16" s="98">
        <f>SUM(L16:S16)</f>
        <v>15983.01899</v>
      </c>
      <c r="U16" s="111">
        <f>K16-T16</f>
        <v>3049.914410000001</v>
      </c>
    </row>
    <row r="17" spans="1:21" ht="49.5" customHeight="1">
      <c r="A17" s="6" t="s">
        <v>22</v>
      </c>
      <c r="B17" s="10" t="s">
        <v>23</v>
      </c>
      <c r="C17" s="8"/>
      <c r="D17" s="9"/>
      <c r="E17" s="9">
        <v>59.76</v>
      </c>
      <c r="F17" s="9"/>
      <c r="G17" s="9"/>
      <c r="H17" s="9"/>
      <c r="I17" s="9"/>
      <c r="J17" s="59"/>
      <c r="K17" s="61">
        <f aca="true" t="shared" si="2" ref="K17:K24">SUM(C17:J17)</f>
        <v>59.76</v>
      </c>
      <c r="L17" s="13"/>
      <c r="M17" s="13"/>
      <c r="N17" s="62">
        <v>59.76</v>
      </c>
      <c r="O17" s="13"/>
      <c r="P17" s="13"/>
      <c r="Q17" s="13"/>
      <c r="R17" s="13"/>
      <c r="S17" s="112"/>
      <c r="T17" s="64">
        <f aca="true" t="shared" si="3" ref="T17:T24">SUM(L17:S17)</f>
        <v>59.76</v>
      </c>
      <c r="U17" s="113">
        <f aca="true" t="shared" si="4" ref="U17:U24">K17-T17</f>
        <v>0</v>
      </c>
    </row>
    <row r="18" spans="1:21" ht="55.5" customHeight="1">
      <c r="A18" s="6" t="s">
        <v>24</v>
      </c>
      <c r="B18" s="11" t="s">
        <v>25</v>
      </c>
      <c r="C18" s="12"/>
      <c r="D18" s="13"/>
      <c r="E18" s="13"/>
      <c r="F18" s="13"/>
      <c r="G18" s="13"/>
      <c r="H18" s="13"/>
      <c r="I18" s="13"/>
      <c r="J18" s="63">
        <f>2000-5.43181-4.16667-23.33333-6.715-16.66667-16.66667-12.5-16.66667-12.5-8.33333+130+4500-5.36128-247.9334-4500-130-4.16667-1419+2277</f>
        <v>2477.5584999999996</v>
      </c>
      <c r="K18" s="64">
        <f t="shared" si="2"/>
        <v>2477.5584999999996</v>
      </c>
      <c r="L18" s="16"/>
      <c r="M18" s="16"/>
      <c r="N18" s="16"/>
      <c r="O18" s="16"/>
      <c r="P18" s="16"/>
      <c r="Q18" s="16"/>
      <c r="R18" s="16"/>
      <c r="S18" s="114">
        <v>200</v>
      </c>
      <c r="T18" s="64">
        <f t="shared" si="3"/>
        <v>200</v>
      </c>
      <c r="U18" s="113">
        <f t="shared" si="4"/>
        <v>2277.5584999999996</v>
      </c>
    </row>
    <row r="19" spans="1:21" ht="60.75" customHeight="1">
      <c r="A19" s="6" t="s">
        <v>26</v>
      </c>
      <c r="B19" s="14" t="s">
        <v>27</v>
      </c>
      <c r="C19" s="15"/>
      <c r="D19" s="16"/>
      <c r="E19" s="16"/>
      <c r="F19" s="16"/>
      <c r="G19" s="16"/>
      <c r="H19" s="16"/>
      <c r="I19" s="16"/>
      <c r="J19" s="65">
        <f>5.43181+4.16667+23.33333+6.715+16.66667+16.66667+12.5+16.66667+12.5+8.33333+5.36128+4.16667</f>
        <v>132.5081</v>
      </c>
      <c r="K19" s="64">
        <f t="shared" si="2"/>
        <v>132.5081</v>
      </c>
      <c r="L19" s="16"/>
      <c r="M19" s="16"/>
      <c r="N19" s="16"/>
      <c r="O19" s="16"/>
      <c r="P19" s="16"/>
      <c r="Q19" s="16"/>
      <c r="R19" s="16"/>
      <c r="S19" s="115">
        <f>2.0145+1.62954+1.25+13.75+8.75+23.33333+2.5+11.66667+8.75+11.66667+5.83333+8.75+11.66667+1.60838+4.7005+3.80227+2.91667+1.25+3.7529+2.91667</f>
        <v>132.5081</v>
      </c>
      <c r="T19" s="64">
        <f t="shared" si="3"/>
        <v>132.5081</v>
      </c>
      <c r="U19" s="113">
        <f t="shared" si="4"/>
        <v>0</v>
      </c>
    </row>
    <row r="20" spans="1:21" ht="66" customHeight="1">
      <c r="A20" s="6" t="s">
        <v>28</v>
      </c>
      <c r="B20" s="17" t="s">
        <v>29</v>
      </c>
      <c r="C20" s="15"/>
      <c r="D20" s="18">
        <v>35095</v>
      </c>
      <c r="E20" s="16">
        <f>3379+719-790</f>
        <v>3308</v>
      </c>
      <c r="F20" s="16"/>
      <c r="G20" s="16"/>
      <c r="H20" s="16"/>
      <c r="I20" s="16"/>
      <c r="J20" s="65"/>
      <c r="K20" s="64">
        <f t="shared" si="2"/>
        <v>38403</v>
      </c>
      <c r="L20" s="16"/>
      <c r="M20" s="66">
        <f>26843+4635.41879+3616.58121</f>
        <v>35095</v>
      </c>
      <c r="N20" s="66">
        <f>1413.417+436.92735+1457.65565</f>
        <v>3308</v>
      </c>
      <c r="O20" s="16"/>
      <c r="P20" s="16"/>
      <c r="Q20" s="16"/>
      <c r="R20" s="16"/>
      <c r="S20" s="114"/>
      <c r="T20" s="98">
        <f t="shared" si="3"/>
        <v>38403</v>
      </c>
      <c r="U20" s="116">
        <f t="shared" si="4"/>
        <v>0</v>
      </c>
    </row>
    <row r="21" spans="1:21" ht="57" customHeight="1">
      <c r="A21" s="6" t="s">
        <v>30</v>
      </c>
      <c r="B21" s="17" t="s">
        <v>31</v>
      </c>
      <c r="C21" s="15"/>
      <c r="D21" s="16"/>
      <c r="E21" s="16"/>
      <c r="F21" s="16"/>
      <c r="G21" s="16"/>
      <c r="H21" s="16"/>
      <c r="I21" s="16"/>
      <c r="J21" s="65">
        <v>1573</v>
      </c>
      <c r="K21" s="64">
        <f t="shared" si="2"/>
        <v>1573</v>
      </c>
      <c r="L21" s="16"/>
      <c r="M21" s="66"/>
      <c r="N21" s="66"/>
      <c r="O21" s="16"/>
      <c r="P21" s="16"/>
      <c r="Q21" s="16"/>
      <c r="R21" s="16"/>
      <c r="S21" s="114">
        <f>318.7008+499.1976+755.1016</f>
        <v>1573</v>
      </c>
      <c r="T21" s="98">
        <f t="shared" si="3"/>
        <v>1573</v>
      </c>
      <c r="U21" s="116">
        <f t="shared" si="4"/>
        <v>0</v>
      </c>
    </row>
    <row r="22" spans="1:21" ht="54" customHeight="1">
      <c r="A22" s="6" t="s">
        <v>32</v>
      </c>
      <c r="B22" s="17" t="s">
        <v>33</v>
      </c>
      <c r="C22" s="15"/>
      <c r="D22" s="16"/>
      <c r="E22" s="16">
        <v>18</v>
      </c>
      <c r="F22" s="16"/>
      <c r="G22" s="16"/>
      <c r="H22" s="16"/>
      <c r="I22" s="16"/>
      <c r="J22" s="65"/>
      <c r="K22" s="64">
        <f t="shared" si="2"/>
        <v>18</v>
      </c>
      <c r="L22" s="16"/>
      <c r="M22" s="66"/>
      <c r="N22" s="66">
        <f>12.506+5.494</f>
        <v>18</v>
      </c>
      <c r="O22" s="16"/>
      <c r="P22" s="16"/>
      <c r="Q22" s="16"/>
      <c r="R22" s="16"/>
      <c r="S22" s="114"/>
      <c r="T22" s="98">
        <f t="shared" si="3"/>
        <v>18</v>
      </c>
      <c r="U22" s="116">
        <f t="shared" si="4"/>
        <v>0</v>
      </c>
    </row>
    <row r="23" spans="1:21" ht="57" customHeight="1">
      <c r="A23" s="6" t="s">
        <v>34</v>
      </c>
      <c r="B23" s="11" t="s">
        <v>35</v>
      </c>
      <c r="C23" s="15"/>
      <c r="D23" s="16"/>
      <c r="E23" s="16"/>
      <c r="F23" s="16"/>
      <c r="G23" s="16"/>
      <c r="H23" s="16"/>
      <c r="I23" s="16"/>
      <c r="J23" s="65">
        <v>1419</v>
      </c>
      <c r="K23" s="64">
        <f t="shared" si="2"/>
        <v>1419</v>
      </c>
      <c r="L23" s="16"/>
      <c r="M23" s="66"/>
      <c r="N23" s="66"/>
      <c r="O23" s="16"/>
      <c r="P23" s="16"/>
      <c r="Q23" s="16"/>
      <c r="R23" s="16"/>
      <c r="S23" s="114"/>
      <c r="T23" s="98">
        <f t="shared" si="3"/>
        <v>0</v>
      </c>
      <c r="U23" s="116">
        <f t="shared" si="4"/>
        <v>1419</v>
      </c>
    </row>
    <row r="24" spans="1:21" ht="72" customHeight="1">
      <c r="A24" s="6" t="s">
        <v>36</v>
      </c>
      <c r="B24" s="19" t="s">
        <v>37</v>
      </c>
      <c r="C24" s="15"/>
      <c r="D24" s="16"/>
      <c r="E24" s="16">
        <v>81.975</v>
      </c>
      <c r="F24" s="20"/>
      <c r="G24" s="20"/>
      <c r="H24" s="20"/>
      <c r="I24" s="20"/>
      <c r="J24" s="67"/>
      <c r="K24" s="64">
        <f t="shared" si="2"/>
        <v>81.975</v>
      </c>
      <c r="L24" s="16"/>
      <c r="M24" s="66"/>
      <c r="N24" s="66">
        <v>81.975</v>
      </c>
      <c r="O24" s="16"/>
      <c r="P24" s="16"/>
      <c r="Q24" s="16"/>
      <c r="R24" s="16"/>
      <c r="S24" s="114"/>
      <c r="T24" s="98">
        <f t="shared" si="3"/>
        <v>81.975</v>
      </c>
      <c r="U24" s="116">
        <f t="shared" si="4"/>
        <v>0</v>
      </c>
    </row>
    <row r="25" spans="1:21" ht="23.25" customHeight="1">
      <c r="A25" s="3" t="s">
        <v>38</v>
      </c>
      <c r="B25" s="4" t="s">
        <v>39</v>
      </c>
      <c r="C25" s="21">
        <f aca="true" t="shared" si="5" ref="C25:J25">C26</f>
        <v>0</v>
      </c>
      <c r="D25" s="22">
        <f t="shared" si="5"/>
        <v>22730</v>
      </c>
      <c r="E25" s="23">
        <f t="shared" si="5"/>
        <v>0</v>
      </c>
      <c r="F25" s="22">
        <f t="shared" si="5"/>
        <v>0</v>
      </c>
      <c r="G25" s="23">
        <f t="shared" si="5"/>
        <v>0</v>
      </c>
      <c r="H25" s="22">
        <f t="shared" si="5"/>
        <v>0</v>
      </c>
      <c r="I25" s="23">
        <f t="shared" si="5"/>
        <v>0</v>
      </c>
      <c r="J25" s="22">
        <f t="shared" si="5"/>
        <v>0</v>
      </c>
      <c r="K25" s="58">
        <f aca="true" t="shared" si="6" ref="K25:K31">SUM(C25:J25)</f>
        <v>22730</v>
      </c>
      <c r="L25" s="68">
        <f aca="true" t="shared" si="7" ref="L25:S25">L26</f>
        <v>0</v>
      </c>
      <c r="M25" s="22">
        <f t="shared" si="7"/>
        <v>22729.905</v>
      </c>
      <c r="N25" s="23">
        <f t="shared" si="7"/>
        <v>0</v>
      </c>
      <c r="O25" s="22">
        <f t="shared" si="7"/>
        <v>0</v>
      </c>
      <c r="P25" s="23">
        <f t="shared" si="7"/>
        <v>0</v>
      </c>
      <c r="Q25" s="22">
        <f t="shared" si="7"/>
        <v>0</v>
      </c>
      <c r="R25" s="23">
        <f t="shared" si="7"/>
        <v>0</v>
      </c>
      <c r="S25" s="22">
        <f t="shared" si="7"/>
        <v>0</v>
      </c>
      <c r="T25" s="58">
        <f aca="true" t="shared" si="8" ref="T25:T31">SUM(L25:S25)</f>
        <v>22729.905</v>
      </c>
      <c r="U25" s="22">
        <f aca="true" t="shared" si="9" ref="U25:U31">K25-T25</f>
        <v>0.09500000000116415</v>
      </c>
    </row>
    <row r="26" spans="1:21" ht="81" customHeight="1">
      <c r="A26" s="24" t="s">
        <v>40</v>
      </c>
      <c r="B26" s="25" t="s">
        <v>41</v>
      </c>
      <c r="C26" s="26"/>
      <c r="D26" s="27">
        <v>22730</v>
      </c>
      <c r="E26" s="27"/>
      <c r="F26" s="27"/>
      <c r="G26" s="27"/>
      <c r="H26" s="27"/>
      <c r="I26" s="27"/>
      <c r="J26" s="69"/>
      <c r="K26" s="58">
        <f t="shared" si="6"/>
        <v>22730</v>
      </c>
      <c r="L26" s="70"/>
      <c r="M26" s="71">
        <f>1515.327+1515.327+1515.327+1515.327+1515.327+1515.327+1515.327+1515.327+6061.308+3030.654+1515.327</f>
        <v>22729.905</v>
      </c>
      <c r="N26" s="27"/>
      <c r="O26" s="72"/>
      <c r="P26" s="27"/>
      <c r="Q26" s="72"/>
      <c r="R26" s="27"/>
      <c r="S26" s="117"/>
      <c r="T26" s="58">
        <f t="shared" si="8"/>
        <v>22729.905</v>
      </c>
      <c r="U26" s="118">
        <f t="shared" si="9"/>
        <v>0.09500000000116415</v>
      </c>
    </row>
    <row r="27" spans="1:21" ht="23.25" customHeight="1">
      <c r="A27" s="3" t="s">
        <v>42</v>
      </c>
      <c r="B27" s="4" t="s">
        <v>43</v>
      </c>
      <c r="C27" s="5">
        <f aca="true" t="shared" si="10" ref="C27:J27">C28+C36+C32+C39</f>
        <v>183.7</v>
      </c>
      <c r="D27" s="5">
        <f t="shared" si="10"/>
        <v>118847.9</v>
      </c>
      <c r="E27" s="5">
        <f t="shared" si="10"/>
        <v>12879.947259999999</v>
      </c>
      <c r="F27" s="5">
        <f t="shared" si="10"/>
        <v>0</v>
      </c>
      <c r="G27" s="5">
        <f t="shared" si="10"/>
        <v>0</v>
      </c>
      <c r="H27" s="5">
        <f t="shared" si="10"/>
        <v>0</v>
      </c>
      <c r="I27" s="5">
        <f t="shared" si="10"/>
        <v>0</v>
      </c>
      <c r="J27" s="5">
        <f t="shared" si="10"/>
        <v>0</v>
      </c>
      <c r="K27" s="58">
        <f t="shared" si="6"/>
        <v>131911.54726</v>
      </c>
      <c r="L27" s="68">
        <f aca="true" t="shared" si="11" ref="L27:S27">L28+L36+L32+L39</f>
        <v>183.7</v>
      </c>
      <c r="M27" s="22">
        <f t="shared" si="11"/>
        <v>118091.66273000001</v>
      </c>
      <c r="N27" s="23">
        <f t="shared" si="11"/>
        <v>12879.94726</v>
      </c>
      <c r="O27" s="22">
        <f t="shared" si="11"/>
        <v>0</v>
      </c>
      <c r="P27" s="23">
        <f t="shared" si="11"/>
        <v>0</v>
      </c>
      <c r="Q27" s="22">
        <f t="shared" si="11"/>
        <v>0</v>
      </c>
      <c r="R27" s="23">
        <f t="shared" si="11"/>
        <v>0</v>
      </c>
      <c r="S27" s="22">
        <f t="shared" si="11"/>
        <v>0</v>
      </c>
      <c r="T27" s="58">
        <f t="shared" si="8"/>
        <v>131155.30999</v>
      </c>
      <c r="U27" s="22">
        <f t="shared" si="9"/>
        <v>756.2372699999833</v>
      </c>
    </row>
    <row r="28" spans="1:21" ht="18" customHeight="1">
      <c r="A28" s="3" t="s">
        <v>44</v>
      </c>
      <c r="B28" s="4" t="s">
        <v>45</v>
      </c>
      <c r="C28" s="5">
        <f aca="true" t="shared" si="12" ref="C28:J28">C29+C30+C31</f>
        <v>0</v>
      </c>
      <c r="D28" s="28">
        <f t="shared" si="12"/>
        <v>27114</v>
      </c>
      <c r="E28" s="28">
        <f t="shared" si="12"/>
        <v>2930.22499</v>
      </c>
      <c r="F28" s="28">
        <f t="shared" si="12"/>
        <v>0</v>
      </c>
      <c r="G28" s="5">
        <f t="shared" si="12"/>
        <v>0</v>
      </c>
      <c r="H28" s="28">
        <f t="shared" si="12"/>
        <v>0</v>
      </c>
      <c r="I28" s="28">
        <f t="shared" si="12"/>
        <v>0</v>
      </c>
      <c r="J28" s="28">
        <f t="shared" si="12"/>
        <v>0</v>
      </c>
      <c r="K28" s="58">
        <f t="shared" si="6"/>
        <v>30044.22499</v>
      </c>
      <c r="L28" s="5">
        <f aca="true" t="shared" si="13" ref="L28:S28">L29+L30+L31</f>
        <v>0</v>
      </c>
      <c r="M28" s="28">
        <f t="shared" si="13"/>
        <v>26360.570659999998</v>
      </c>
      <c r="N28" s="28">
        <f t="shared" si="13"/>
        <v>2930.2249899999997</v>
      </c>
      <c r="O28" s="28">
        <f t="shared" si="13"/>
        <v>0</v>
      </c>
      <c r="P28" s="28">
        <f t="shared" si="13"/>
        <v>0</v>
      </c>
      <c r="Q28" s="28">
        <f t="shared" si="13"/>
        <v>0</v>
      </c>
      <c r="R28" s="28">
        <f t="shared" si="13"/>
        <v>0</v>
      </c>
      <c r="S28" s="28">
        <f t="shared" si="13"/>
        <v>0</v>
      </c>
      <c r="T28" s="119">
        <f t="shared" si="8"/>
        <v>29290.795649999996</v>
      </c>
      <c r="U28" s="118">
        <f t="shared" si="9"/>
        <v>753.4293400000024</v>
      </c>
    </row>
    <row r="29" spans="1:21" ht="57" customHeight="1">
      <c r="A29" s="24" t="s">
        <v>46</v>
      </c>
      <c r="B29" s="25" t="s">
        <v>47</v>
      </c>
      <c r="C29" s="26"/>
      <c r="D29" s="29">
        <v>10733</v>
      </c>
      <c r="E29" s="29">
        <v>1193</v>
      </c>
      <c r="F29" s="27"/>
      <c r="G29" s="27"/>
      <c r="H29" s="27"/>
      <c r="I29" s="73"/>
      <c r="J29" s="74"/>
      <c r="K29" s="75">
        <f t="shared" si="6"/>
        <v>11926</v>
      </c>
      <c r="L29" s="29"/>
      <c r="M29" s="76">
        <f>2119.11322+2519.63898+3047+3047.2478</f>
        <v>10733</v>
      </c>
      <c r="N29" s="77">
        <f>235.54478+280.06422+338.68173+338.70927</f>
        <v>1193</v>
      </c>
      <c r="O29" s="27"/>
      <c r="P29" s="27"/>
      <c r="Q29" s="27"/>
      <c r="R29" s="73"/>
      <c r="S29" s="120"/>
      <c r="T29" s="60">
        <f t="shared" si="8"/>
        <v>11926</v>
      </c>
      <c r="U29" s="121">
        <f t="shared" si="9"/>
        <v>0</v>
      </c>
    </row>
    <row r="30" spans="1:21" ht="57" customHeight="1">
      <c r="A30" s="30" t="s">
        <v>48</v>
      </c>
      <c r="B30" s="31" t="s">
        <v>49</v>
      </c>
      <c r="C30" s="32"/>
      <c r="D30" s="9">
        <v>8098</v>
      </c>
      <c r="E30" s="9">
        <v>900</v>
      </c>
      <c r="F30" s="9"/>
      <c r="G30" s="9"/>
      <c r="H30" s="9"/>
      <c r="I30" s="78"/>
      <c r="J30" s="79"/>
      <c r="K30" s="75">
        <f t="shared" si="6"/>
        <v>8998</v>
      </c>
      <c r="L30" s="80"/>
      <c r="M30" s="81">
        <f>1150.39654+6947.60346</f>
        <v>8098</v>
      </c>
      <c r="N30" s="81">
        <f>127.85341+772.14659</f>
        <v>900</v>
      </c>
      <c r="O30" s="9"/>
      <c r="P30" s="9"/>
      <c r="Q30" s="9"/>
      <c r="R30" s="78"/>
      <c r="S30" s="122"/>
      <c r="T30" s="75">
        <f t="shared" si="8"/>
        <v>8998</v>
      </c>
      <c r="U30" s="123">
        <f t="shared" si="9"/>
        <v>0</v>
      </c>
    </row>
    <row r="31" spans="1:21" ht="72" customHeight="1">
      <c r="A31" s="30" t="s">
        <v>50</v>
      </c>
      <c r="B31" s="31" t="s">
        <v>51</v>
      </c>
      <c r="C31" s="32"/>
      <c r="D31" s="33">
        <v>8283</v>
      </c>
      <c r="E31" s="33">
        <f>921-83.77501</f>
        <v>837.22499</v>
      </c>
      <c r="F31" s="9"/>
      <c r="G31" s="9"/>
      <c r="H31" s="9"/>
      <c r="I31" s="78"/>
      <c r="J31" s="79"/>
      <c r="K31" s="75">
        <f t="shared" si="6"/>
        <v>9120.22499</v>
      </c>
      <c r="L31" s="80"/>
      <c r="M31" s="80">
        <f>1984.30874+1345.95618+4199.30574</f>
        <v>7529.570659999999</v>
      </c>
      <c r="N31" s="80">
        <f>220.63846+149.65902+466.92751</f>
        <v>837.2249899999999</v>
      </c>
      <c r="O31" s="9"/>
      <c r="P31" s="9"/>
      <c r="Q31" s="9"/>
      <c r="R31" s="78"/>
      <c r="S31" s="122"/>
      <c r="T31" s="75">
        <f t="shared" si="8"/>
        <v>8366.79565</v>
      </c>
      <c r="U31" s="123">
        <f t="shared" si="9"/>
        <v>753.4293400000006</v>
      </c>
    </row>
    <row r="32" spans="1:21" ht="28.5" customHeight="1">
      <c r="A32" s="3" t="s">
        <v>52</v>
      </c>
      <c r="B32" s="4" t="s">
        <v>53</v>
      </c>
      <c r="C32" s="5">
        <f aca="true" t="shared" si="14" ref="C32:J32">C33+C34+C35</f>
        <v>183.7</v>
      </c>
      <c r="D32" s="5">
        <f t="shared" si="14"/>
        <v>64898.9</v>
      </c>
      <c r="E32" s="5">
        <f t="shared" si="14"/>
        <v>6831.45638</v>
      </c>
      <c r="F32" s="5">
        <f t="shared" si="14"/>
        <v>0</v>
      </c>
      <c r="G32" s="5">
        <f t="shared" si="14"/>
        <v>0</v>
      </c>
      <c r="H32" s="5">
        <f t="shared" si="14"/>
        <v>0</v>
      </c>
      <c r="I32" s="5">
        <f t="shared" si="14"/>
        <v>0</v>
      </c>
      <c r="J32" s="5">
        <f t="shared" si="14"/>
        <v>0</v>
      </c>
      <c r="K32" s="58">
        <f aca="true" t="shared" si="15" ref="K32:U32">K33+K34+K35</f>
        <v>71914.05638</v>
      </c>
      <c r="L32" s="82">
        <f t="shared" si="15"/>
        <v>183.7</v>
      </c>
      <c r="M32" s="82">
        <f t="shared" si="15"/>
        <v>64896.12042000001</v>
      </c>
      <c r="N32" s="82">
        <f t="shared" si="15"/>
        <v>6831.4563800000005</v>
      </c>
      <c r="O32" s="82">
        <f t="shared" si="15"/>
        <v>0</v>
      </c>
      <c r="P32" s="82">
        <f t="shared" si="15"/>
        <v>0</v>
      </c>
      <c r="Q32" s="82">
        <f t="shared" si="15"/>
        <v>0</v>
      </c>
      <c r="R32" s="82">
        <v>0</v>
      </c>
      <c r="S32" s="82">
        <f t="shared" si="15"/>
        <v>0</v>
      </c>
      <c r="T32" s="58">
        <f t="shared" si="15"/>
        <v>71911.27680000002</v>
      </c>
      <c r="U32" s="124">
        <f t="shared" si="15"/>
        <v>2.7795799999997826</v>
      </c>
    </row>
    <row r="33" spans="1:21" ht="72" customHeight="1">
      <c r="A33" s="24" t="s">
        <v>54</v>
      </c>
      <c r="B33" s="25" t="s">
        <v>55</v>
      </c>
      <c r="C33" s="26"/>
      <c r="D33" s="29">
        <v>61250</v>
      </c>
      <c r="E33" s="29">
        <f>6806-0.38086</f>
        <v>6805.61914</v>
      </c>
      <c r="F33" s="27"/>
      <c r="G33" s="27"/>
      <c r="H33" s="27"/>
      <c r="I33" s="73"/>
      <c r="J33" s="74"/>
      <c r="K33" s="60">
        <f>SUM(C33:J33)</f>
        <v>68055.61914</v>
      </c>
      <c r="L33" s="27"/>
      <c r="M33" s="76">
        <f>1688.60052+12060.02769+12105.01949+15570.02543+9423.04862+6803.27825+3600</f>
        <v>61250.00000000001</v>
      </c>
      <c r="N33" s="77">
        <f>187.62228+1339.97871+1344.97771+1729.97137+1047.07378+755.96917+400.02612</f>
        <v>6805.619140000001</v>
      </c>
      <c r="O33" s="27"/>
      <c r="P33" s="27"/>
      <c r="Q33" s="27"/>
      <c r="R33" s="73"/>
      <c r="S33" s="120"/>
      <c r="T33" s="60">
        <f>SUM(L33:S33)</f>
        <v>68055.61914000001</v>
      </c>
      <c r="U33" s="121">
        <f>K33-T33</f>
        <v>0</v>
      </c>
    </row>
    <row r="34" spans="1:21" ht="69.75" customHeight="1">
      <c r="A34" s="34" t="s">
        <v>56</v>
      </c>
      <c r="B34" s="35" t="s">
        <v>57</v>
      </c>
      <c r="C34" s="15">
        <v>183.7</v>
      </c>
      <c r="D34" s="16">
        <v>48.9</v>
      </c>
      <c r="E34" s="18">
        <f>26-0.16276</f>
        <v>25.83724</v>
      </c>
      <c r="F34" s="16"/>
      <c r="G34" s="16"/>
      <c r="H34" s="16"/>
      <c r="I34" s="83"/>
      <c r="J34" s="84"/>
      <c r="K34" s="64">
        <f>SUM(C34:J34)</f>
        <v>258.43724</v>
      </c>
      <c r="L34" s="85">
        <f>178.63673+5.06327</f>
        <v>183.7</v>
      </c>
      <c r="M34" s="85">
        <f>47.48917+1.34603</f>
        <v>48.8352</v>
      </c>
      <c r="N34" s="86">
        <f>25.1251+0.71214</f>
        <v>25.83724</v>
      </c>
      <c r="O34" s="87"/>
      <c r="P34" s="16"/>
      <c r="Q34" s="16"/>
      <c r="R34" s="83"/>
      <c r="S34" s="84"/>
      <c r="T34" s="64">
        <f>SUM(L34:S34)</f>
        <v>258.37244</v>
      </c>
      <c r="U34" s="113">
        <f>K34-T34</f>
        <v>0.06479999999999109</v>
      </c>
    </row>
    <row r="35" spans="1:21" ht="72" customHeight="1">
      <c r="A35" s="34" t="s">
        <v>58</v>
      </c>
      <c r="B35" s="35" t="s">
        <v>59</v>
      </c>
      <c r="C35" s="15"/>
      <c r="D35" s="16">
        <v>3600</v>
      </c>
      <c r="E35" s="16"/>
      <c r="F35" s="16"/>
      <c r="G35" s="16"/>
      <c r="H35" s="16"/>
      <c r="I35" s="83"/>
      <c r="J35" s="84"/>
      <c r="K35" s="64">
        <f>SUM(C35:J35)</f>
        <v>3600</v>
      </c>
      <c r="L35" s="85"/>
      <c r="M35" s="85">
        <f>1080+2517.28522</f>
        <v>3597.28522</v>
      </c>
      <c r="N35" s="86"/>
      <c r="O35" s="87"/>
      <c r="P35" s="16"/>
      <c r="Q35" s="16"/>
      <c r="R35" s="83" t="s">
        <v>60</v>
      </c>
      <c r="S35" s="84"/>
      <c r="T35" s="64">
        <f>SUM(L35:S35)</f>
        <v>3597.28522</v>
      </c>
      <c r="U35" s="113">
        <f>K35-T35</f>
        <v>2.7147799999997915</v>
      </c>
    </row>
    <row r="36" spans="1:21" ht="29.25" customHeight="1">
      <c r="A36" s="3" t="s">
        <v>61</v>
      </c>
      <c r="B36" s="4" t="s">
        <v>62</v>
      </c>
      <c r="C36" s="5">
        <f aca="true" t="shared" si="16" ref="C36:U36">C37+C38</f>
        <v>0</v>
      </c>
      <c r="D36" s="5">
        <f t="shared" si="16"/>
        <v>24009</v>
      </c>
      <c r="E36" s="5">
        <f t="shared" si="16"/>
        <v>2804.26904</v>
      </c>
      <c r="F36" s="5">
        <f t="shared" si="16"/>
        <v>0</v>
      </c>
      <c r="G36" s="5">
        <f t="shared" si="16"/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8">
        <f t="shared" si="16"/>
        <v>26813.26904</v>
      </c>
      <c r="L36" s="82">
        <f t="shared" si="16"/>
        <v>0</v>
      </c>
      <c r="M36" s="82">
        <f t="shared" si="16"/>
        <v>24009</v>
      </c>
      <c r="N36" s="82">
        <f t="shared" si="16"/>
        <v>2804.26904</v>
      </c>
      <c r="O36" s="82">
        <f t="shared" si="16"/>
        <v>0</v>
      </c>
      <c r="P36" s="82">
        <f t="shared" si="16"/>
        <v>0</v>
      </c>
      <c r="Q36" s="82">
        <f t="shared" si="16"/>
        <v>0</v>
      </c>
      <c r="R36" s="82">
        <f t="shared" si="16"/>
        <v>0</v>
      </c>
      <c r="S36" s="82">
        <f t="shared" si="16"/>
        <v>0</v>
      </c>
      <c r="T36" s="58">
        <f t="shared" si="16"/>
        <v>26813.26904</v>
      </c>
      <c r="U36" s="124">
        <f t="shared" si="16"/>
        <v>0</v>
      </c>
    </row>
    <row r="37" spans="1:21" ht="69" customHeight="1">
      <c r="A37" s="24" t="s">
        <v>63</v>
      </c>
      <c r="B37" s="25" t="s">
        <v>64</v>
      </c>
      <c r="C37" s="26"/>
      <c r="D37" s="29">
        <v>8500</v>
      </c>
      <c r="E37" s="29">
        <v>944</v>
      </c>
      <c r="F37" s="27"/>
      <c r="G37" s="27"/>
      <c r="H37" s="27"/>
      <c r="I37" s="73"/>
      <c r="J37" s="74"/>
      <c r="K37" s="60">
        <f>SUM(C37:J37)</f>
        <v>9444</v>
      </c>
      <c r="L37" s="27"/>
      <c r="M37" s="88">
        <f>556.93038+10+591.56004+1126.52271+3169.99508+3044.99179</f>
        <v>8500</v>
      </c>
      <c r="N37" s="89">
        <f>62.96262+65.69796+125.11029+352.05592+338.17321</f>
        <v>944</v>
      </c>
      <c r="O37" s="27"/>
      <c r="P37" s="27"/>
      <c r="Q37" s="27"/>
      <c r="R37" s="73"/>
      <c r="S37" s="120"/>
      <c r="T37" s="60">
        <f>SUM(L37:S37)</f>
        <v>9444</v>
      </c>
      <c r="U37" s="121">
        <f>K37-T37</f>
        <v>0</v>
      </c>
    </row>
    <row r="38" spans="1:21" ht="69" customHeight="1">
      <c r="A38" s="36" t="s">
        <v>65</v>
      </c>
      <c r="B38" s="37" t="s">
        <v>66</v>
      </c>
      <c r="C38" s="38"/>
      <c r="D38" s="39">
        <v>15509</v>
      </c>
      <c r="E38" s="39">
        <f>1863.58721-3.31817</f>
        <v>1860.26904</v>
      </c>
      <c r="F38" s="40"/>
      <c r="G38" s="40"/>
      <c r="H38" s="40"/>
      <c r="I38" s="90"/>
      <c r="J38" s="91"/>
      <c r="K38" s="92">
        <f>SUM(C38:J38)</f>
        <v>17369.26904</v>
      </c>
      <c r="L38" s="40"/>
      <c r="M38" s="93">
        <f>3467.96231+4105.58494+3276.16495+2701.70065+1957.58715</f>
        <v>15509</v>
      </c>
      <c r="N38" s="94">
        <f>385.27945+456.11728+363.97138+300.15025+217.48164+137.26904</f>
        <v>1860.26904</v>
      </c>
      <c r="O38" s="40"/>
      <c r="P38" s="40"/>
      <c r="Q38" s="40"/>
      <c r="R38" s="90"/>
      <c r="S38" s="125"/>
      <c r="T38" s="92">
        <f>SUM(L38:S38)</f>
        <v>17369.26904</v>
      </c>
      <c r="U38" s="126">
        <f>K38-T38</f>
        <v>0</v>
      </c>
    </row>
    <row r="39" spans="1:21" ht="30" customHeight="1">
      <c r="A39" s="3" t="s">
        <v>67</v>
      </c>
      <c r="B39" s="4" t="s">
        <v>68</v>
      </c>
      <c r="C39" s="5">
        <f aca="true" t="shared" si="17" ref="C39:U39">C40</f>
        <v>0</v>
      </c>
      <c r="D39" s="5">
        <f t="shared" si="17"/>
        <v>2826</v>
      </c>
      <c r="E39" s="5">
        <f t="shared" si="17"/>
        <v>313.99685</v>
      </c>
      <c r="F39" s="5">
        <f t="shared" si="17"/>
        <v>0</v>
      </c>
      <c r="G39" s="5">
        <f t="shared" si="17"/>
        <v>0</v>
      </c>
      <c r="H39" s="5">
        <f t="shared" si="17"/>
        <v>0</v>
      </c>
      <c r="I39" s="5">
        <f t="shared" si="17"/>
        <v>0</v>
      </c>
      <c r="J39" s="5">
        <f t="shared" si="17"/>
        <v>0</v>
      </c>
      <c r="K39" s="58">
        <f t="shared" si="17"/>
        <v>3139.99685</v>
      </c>
      <c r="L39" s="82">
        <f t="shared" si="17"/>
        <v>0</v>
      </c>
      <c r="M39" s="82">
        <f t="shared" si="17"/>
        <v>2825.97165</v>
      </c>
      <c r="N39" s="82">
        <f t="shared" si="17"/>
        <v>313.99685</v>
      </c>
      <c r="O39" s="82">
        <f t="shared" si="17"/>
        <v>0</v>
      </c>
      <c r="P39" s="82">
        <f t="shared" si="17"/>
        <v>0</v>
      </c>
      <c r="Q39" s="82">
        <f t="shared" si="17"/>
        <v>0</v>
      </c>
      <c r="R39" s="82">
        <f t="shared" si="17"/>
        <v>0</v>
      </c>
      <c r="S39" s="82">
        <f t="shared" si="17"/>
        <v>0</v>
      </c>
      <c r="T39" s="58">
        <f t="shared" si="17"/>
        <v>3139.9685</v>
      </c>
      <c r="U39" s="124">
        <f t="shared" si="17"/>
        <v>0.02835000000004584</v>
      </c>
    </row>
    <row r="40" spans="1:21" ht="67.5" customHeight="1">
      <c r="A40" s="41" t="s">
        <v>69</v>
      </c>
      <c r="B40" s="35" t="s">
        <v>70</v>
      </c>
      <c r="C40" s="15"/>
      <c r="D40" s="16">
        <v>2826</v>
      </c>
      <c r="E40" s="18">
        <f>314-0.00315</f>
        <v>313.99685</v>
      </c>
      <c r="F40" s="16"/>
      <c r="G40" s="16"/>
      <c r="H40" s="16"/>
      <c r="I40" s="83"/>
      <c r="J40" s="84"/>
      <c r="K40" s="64">
        <f>SUM(C40:J40)</f>
        <v>3139.99685</v>
      </c>
      <c r="L40" s="16"/>
      <c r="M40" s="85">
        <f>1400.8626+1425.10905</f>
        <v>2825.97165</v>
      </c>
      <c r="N40" s="86">
        <f>155.6514+158.34545</f>
        <v>313.99685</v>
      </c>
      <c r="O40" s="87"/>
      <c r="P40" s="16"/>
      <c r="Q40" s="16"/>
      <c r="R40" s="83"/>
      <c r="S40" s="84"/>
      <c r="T40" s="64">
        <f>SUM(L40:S40)</f>
        <v>3139.9685</v>
      </c>
      <c r="U40" s="113">
        <f>K40-T40</f>
        <v>0.02835000000004584</v>
      </c>
    </row>
    <row r="41" spans="1:21" ht="24.75" customHeight="1">
      <c r="A41" s="3" t="s">
        <v>71</v>
      </c>
      <c r="B41" s="4" t="s">
        <v>72</v>
      </c>
      <c r="C41" s="5">
        <f aca="true" t="shared" si="18" ref="C41:J41">C42+C43+C44+C45+C46+C47+C48+C49+C50+C51+C52+C53+C54+C55+C56+C57+C58+C59+C60+C61+C62+C63</f>
        <v>0</v>
      </c>
      <c r="D41" s="5">
        <f t="shared" si="18"/>
        <v>0</v>
      </c>
      <c r="E41" s="5">
        <f t="shared" si="18"/>
        <v>2974.8280299999997</v>
      </c>
      <c r="F41" s="5">
        <f t="shared" si="18"/>
        <v>0</v>
      </c>
      <c r="G41" s="5">
        <f t="shared" si="18"/>
        <v>0</v>
      </c>
      <c r="H41" s="5">
        <f t="shared" si="18"/>
        <v>0</v>
      </c>
      <c r="I41" s="5">
        <f t="shared" si="18"/>
        <v>0</v>
      </c>
      <c r="J41" s="5">
        <f t="shared" si="18"/>
        <v>0</v>
      </c>
      <c r="K41" s="58">
        <f>SUM(C41:J41)</f>
        <v>2974.8280299999997</v>
      </c>
      <c r="L41" s="5">
        <f aca="true" t="shared" si="19" ref="L41:S41">L42+L43+L44+L45+L46+L47+L48+L49+L50+L51+L52+L53+L54+L55+L56+L57+L58+L59+L60+L61+L62+L63</f>
        <v>0</v>
      </c>
      <c r="M41" s="5">
        <f t="shared" si="19"/>
        <v>0</v>
      </c>
      <c r="N41" s="5">
        <f t="shared" si="19"/>
        <v>2974.8280299999997</v>
      </c>
      <c r="O41" s="5">
        <f t="shared" si="19"/>
        <v>0</v>
      </c>
      <c r="P41" s="5">
        <f t="shared" si="19"/>
        <v>0</v>
      </c>
      <c r="Q41" s="5">
        <f t="shared" si="19"/>
        <v>0</v>
      </c>
      <c r="R41" s="5">
        <f t="shared" si="19"/>
        <v>0</v>
      </c>
      <c r="S41" s="5">
        <f t="shared" si="19"/>
        <v>0</v>
      </c>
      <c r="T41" s="58">
        <f>SUM(L41:S41)</f>
        <v>2974.8280299999997</v>
      </c>
      <c r="U41" s="22">
        <f>K41-T41</f>
        <v>0</v>
      </c>
    </row>
    <row r="42" spans="1:21" ht="78" customHeight="1">
      <c r="A42" s="41" t="s">
        <v>73</v>
      </c>
      <c r="B42" s="19" t="s">
        <v>74</v>
      </c>
      <c r="C42" s="15"/>
      <c r="D42" s="16"/>
      <c r="E42" s="16">
        <f>55.20413+84.87748-0.00001</f>
        <v>140.0816</v>
      </c>
      <c r="F42" s="16"/>
      <c r="G42" s="42"/>
      <c r="H42" s="43"/>
      <c r="I42" s="16"/>
      <c r="J42" s="95"/>
      <c r="K42" s="64">
        <f aca="true" t="shared" si="20" ref="K42:K69">SUM(C42:J42)</f>
        <v>140.0816</v>
      </c>
      <c r="L42" s="16"/>
      <c r="M42" s="86"/>
      <c r="N42" s="96">
        <f>16.56124+47.05107+38.64289+12.27136+12.75667+12.79837</f>
        <v>140.0816</v>
      </c>
      <c r="O42" s="85"/>
      <c r="P42" s="42"/>
      <c r="Q42" s="43"/>
      <c r="R42" s="16"/>
      <c r="S42" s="95"/>
      <c r="T42" s="64">
        <f aca="true" t="shared" si="21" ref="T42:T69">SUM(L42:S42)</f>
        <v>140.0816</v>
      </c>
      <c r="U42" s="113">
        <f aca="true" t="shared" si="22" ref="U42:U70">K42-T42</f>
        <v>0</v>
      </c>
    </row>
    <row r="43" spans="1:21" ht="84.75" customHeight="1">
      <c r="A43" s="41" t="s">
        <v>75</v>
      </c>
      <c r="B43" s="19" t="s">
        <v>76</v>
      </c>
      <c r="C43" s="15"/>
      <c r="D43" s="16"/>
      <c r="E43" s="16">
        <v>40</v>
      </c>
      <c r="F43" s="16"/>
      <c r="G43" s="42"/>
      <c r="H43" s="43"/>
      <c r="I43" s="16"/>
      <c r="J43" s="95"/>
      <c r="K43" s="64">
        <f t="shared" si="20"/>
        <v>40</v>
      </c>
      <c r="L43" s="16"/>
      <c r="M43" s="86"/>
      <c r="N43" s="85">
        <v>40</v>
      </c>
      <c r="O43" s="85"/>
      <c r="P43" s="42"/>
      <c r="Q43" s="43"/>
      <c r="R43" s="16"/>
      <c r="S43" s="95"/>
      <c r="T43" s="64">
        <f t="shared" si="21"/>
        <v>40</v>
      </c>
      <c r="U43" s="113">
        <f t="shared" si="22"/>
        <v>0</v>
      </c>
    </row>
    <row r="44" spans="1:21" ht="84" customHeight="1">
      <c r="A44" s="34" t="s">
        <v>77</v>
      </c>
      <c r="B44" s="17" t="s">
        <v>78</v>
      </c>
      <c r="C44" s="44"/>
      <c r="D44" s="45"/>
      <c r="E44" s="45">
        <v>40</v>
      </c>
      <c r="F44" s="45"/>
      <c r="G44" s="46"/>
      <c r="H44" s="47"/>
      <c r="I44" s="45"/>
      <c r="J44" s="97"/>
      <c r="K44" s="98">
        <f t="shared" si="20"/>
        <v>40</v>
      </c>
      <c r="L44" s="45"/>
      <c r="M44" s="99"/>
      <c r="N44" s="100">
        <v>40</v>
      </c>
      <c r="O44" s="100"/>
      <c r="P44" s="46"/>
      <c r="Q44" s="47"/>
      <c r="R44" s="45"/>
      <c r="S44" s="97"/>
      <c r="T44" s="98">
        <f t="shared" si="21"/>
        <v>40</v>
      </c>
      <c r="U44" s="127">
        <f t="shared" si="22"/>
        <v>0</v>
      </c>
    </row>
    <row r="45" spans="1:21" ht="55.5" customHeight="1">
      <c r="A45" s="41" t="s">
        <v>79</v>
      </c>
      <c r="B45" s="19" t="s">
        <v>80</v>
      </c>
      <c r="C45" s="15"/>
      <c r="D45" s="16"/>
      <c r="E45" s="16">
        <v>350</v>
      </c>
      <c r="F45" s="16"/>
      <c r="G45" s="42"/>
      <c r="H45" s="43"/>
      <c r="I45" s="16"/>
      <c r="J45" s="95"/>
      <c r="K45" s="64">
        <f t="shared" si="20"/>
        <v>350</v>
      </c>
      <c r="L45" s="16"/>
      <c r="M45" s="86"/>
      <c r="N45" s="96">
        <f>105+245</f>
        <v>350</v>
      </c>
      <c r="O45" s="85"/>
      <c r="P45" s="42"/>
      <c r="Q45" s="43"/>
      <c r="R45" s="16"/>
      <c r="S45" s="95"/>
      <c r="T45" s="64">
        <f t="shared" si="21"/>
        <v>350</v>
      </c>
      <c r="U45" s="113">
        <f t="shared" si="22"/>
        <v>0</v>
      </c>
    </row>
    <row r="46" spans="1:21" ht="70.5" customHeight="1">
      <c r="A46" s="41" t="s">
        <v>81</v>
      </c>
      <c r="B46" s="19" t="s">
        <v>82</v>
      </c>
      <c r="C46" s="48"/>
      <c r="D46" s="18"/>
      <c r="E46" s="18">
        <v>1.26609</v>
      </c>
      <c r="F46" s="18"/>
      <c r="G46" s="49"/>
      <c r="H46" s="50"/>
      <c r="I46" s="18"/>
      <c r="J46" s="101"/>
      <c r="K46" s="102">
        <f t="shared" si="20"/>
        <v>1.26609</v>
      </c>
      <c r="L46" s="18"/>
      <c r="M46" s="103"/>
      <c r="N46" s="96">
        <v>1.26609</v>
      </c>
      <c r="O46" s="96"/>
      <c r="P46" s="49"/>
      <c r="Q46" s="50"/>
      <c r="R46" s="18"/>
      <c r="S46" s="101"/>
      <c r="T46" s="102">
        <f t="shared" si="21"/>
        <v>1.26609</v>
      </c>
      <c r="U46" s="128">
        <f t="shared" si="22"/>
        <v>0</v>
      </c>
    </row>
    <row r="47" spans="1:21" ht="105" customHeight="1">
      <c r="A47" s="41" t="s">
        <v>83</v>
      </c>
      <c r="B47" s="19" t="s">
        <v>84</v>
      </c>
      <c r="C47" s="48"/>
      <c r="D47" s="18"/>
      <c r="E47" s="18">
        <v>10.42603</v>
      </c>
      <c r="F47" s="18"/>
      <c r="G47" s="49"/>
      <c r="H47" s="50"/>
      <c r="I47" s="18"/>
      <c r="J47" s="101"/>
      <c r="K47" s="102">
        <f t="shared" si="20"/>
        <v>10.42603</v>
      </c>
      <c r="L47" s="18"/>
      <c r="M47" s="103"/>
      <c r="N47" s="96">
        <v>10.42603</v>
      </c>
      <c r="O47" s="96"/>
      <c r="P47" s="49"/>
      <c r="Q47" s="50"/>
      <c r="R47" s="18"/>
      <c r="S47" s="101"/>
      <c r="T47" s="102">
        <f t="shared" si="21"/>
        <v>10.42603</v>
      </c>
      <c r="U47" s="128">
        <f t="shared" si="22"/>
        <v>0</v>
      </c>
    </row>
    <row r="48" spans="1:21" ht="81.75" customHeight="1">
      <c r="A48" s="41" t="s">
        <v>85</v>
      </c>
      <c r="B48" s="19" t="s">
        <v>86</v>
      </c>
      <c r="C48" s="48"/>
      <c r="D48" s="18"/>
      <c r="E48" s="18">
        <v>25.28281</v>
      </c>
      <c r="F48" s="18"/>
      <c r="G48" s="49"/>
      <c r="H48" s="50"/>
      <c r="I48" s="18"/>
      <c r="J48" s="101"/>
      <c r="K48" s="102">
        <f t="shared" si="20"/>
        <v>25.28281</v>
      </c>
      <c r="L48" s="18"/>
      <c r="M48" s="103"/>
      <c r="N48" s="96">
        <f>25.28281</f>
        <v>25.28281</v>
      </c>
      <c r="O48" s="96"/>
      <c r="P48" s="49"/>
      <c r="Q48" s="50"/>
      <c r="R48" s="18"/>
      <c r="S48" s="101"/>
      <c r="T48" s="102">
        <f t="shared" si="21"/>
        <v>25.28281</v>
      </c>
      <c r="U48" s="128">
        <f t="shared" si="22"/>
        <v>0</v>
      </c>
    </row>
    <row r="49" spans="1:21" ht="81.75" customHeight="1">
      <c r="A49" s="41" t="s">
        <v>87</v>
      </c>
      <c r="B49" s="19" t="s">
        <v>88</v>
      </c>
      <c r="C49" s="48"/>
      <c r="D49" s="18"/>
      <c r="E49" s="18">
        <v>9.31173</v>
      </c>
      <c r="F49" s="18"/>
      <c r="G49" s="49"/>
      <c r="H49" s="50"/>
      <c r="I49" s="18"/>
      <c r="J49" s="101"/>
      <c r="K49" s="102">
        <f t="shared" si="20"/>
        <v>9.31173</v>
      </c>
      <c r="L49" s="18"/>
      <c r="M49" s="103"/>
      <c r="N49" s="96">
        <f>9.31173</f>
        <v>9.31173</v>
      </c>
      <c r="O49" s="96"/>
      <c r="P49" s="49"/>
      <c r="Q49" s="50"/>
      <c r="R49" s="18"/>
      <c r="S49" s="101"/>
      <c r="T49" s="102">
        <f t="shared" si="21"/>
        <v>9.31173</v>
      </c>
      <c r="U49" s="128">
        <f t="shared" si="22"/>
        <v>0</v>
      </c>
    </row>
    <row r="50" spans="1:21" ht="69.75" customHeight="1">
      <c r="A50" s="41" t="s">
        <v>89</v>
      </c>
      <c r="B50" s="17" t="s">
        <v>90</v>
      </c>
      <c r="C50" s="51"/>
      <c r="D50" s="52"/>
      <c r="E50" s="52">
        <v>8.34664</v>
      </c>
      <c r="F50" s="52"/>
      <c r="G50" s="53"/>
      <c r="H50" s="54"/>
      <c r="I50" s="52"/>
      <c r="J50" s="104"/>
      <c r="K50" s="105">
        <f t="shared" si="20"/>
        <v>8.34664</v>
      </c>
      <c r="L50" s="52"/>
      <c r="M50" s="106"/>
      <c r="N50" s="107">
        <v>8.34664</v>
      </c>
      <c r="O50" s="107"/>
      <c r="P50" s="53"/>
      <c r="Q50" s="54"/>
      <c r="R50" s="52"/>
      <c r="S50" s="104"/>
      <c r="T50" s="105">
        <f t="shared" si="21"/>
        <v>8.34664</v>
      </c>
      <c r="U50" s="116">
        <f t="shared" si="22"/>
        <v>0</v>
      </c>
    </row>
    <row r="51" spans="1:21" ht="69.75" customHeight="1">
      <c r="A51" s="41" t="s">
        <v>91</v>
      </c>
      <c r="B51" s="19" t="s">
        <v>92</v>
      </c>
      <c r="C51" s="48"/>
      <c r="D51" s="18"/>
      <c r="E51" s="18">
        <v>5.35599</v>
      </c>
      <c r="F51" s="18"/>
      <c r="G51" s="49"/>
      <c r="H51" s="50"/>
      <c r="I51" s="18"/>
      <c r="J51" s="101"/>
      <c r="K51" s="102">
        <f t="shared" si="20"/>
        <v>5.35599</v>
      </c>
      <c r="L51" s="18"/>
      <c r="M51" s="103"/>
      <c r="N51" s="96">
        <v>5.35599</v>
      </c>
      <c r="O51" s="96"/>
      <c r="P51" s="49"/>
      <c r="Q51" s="50"/>
      <c r="R51" s="18"/>
      <c r="S51" s="101"/>
      <c r="T51" s="102">
        <f t="shared" si="21"/>
        <v>5.35599</v>
      </c>
      <c r="U51" s="128">
        <f t="shared" si="22"/>
        <v>0</v>
      </c>
    </row>
    <row r="52" spans="1:21" ht="81" customHeight="1">
      <c r="A52" s="41" t="s">
        <v>93</v>
      </c>
      <c r="B52" s="55" t="s">
        <v>94</v>
      </c>
      <c r="C52" s="48"/>
      <c r="D52" s="18"/>
      <c r="E52" s="56">
        <f>12.1111+3.59117+3.34958+3.83301+3.55155</f>
        <v>26.436410000000002</v>
      </c>
      <c r="F52" s="18"/>
      <c r="G52" s="49"/>
      <c r="H52" s="50"/>
      <c r="I52" s="18"/>
      <c r="J52" s="101"/>
      <c r="K52" s="102">
        <f t="shared" si="20"/>
        <v>26.436410000000002</v>
      </c>
      <c r="L52" s="18"/>
      <c r="M52" s="103"/>
      <c r="N52" s="108">
        <f>12.1111+3.59117+3.34958+3.83301+3.55155</f>
        <v>26.436410000000002</v>
      </c>
      <c r="O52" s="96"/>
      <c r="P52" s="49"/>
      <c r="Q52" s="50"/>
      <c r="R52" s="18"/>
      <c r="S52" s="101"/>
      <c r="T52" s="102">
        <f t="shared" si="21"/>
        <v>26.436410000000002</v>
      </c>
      <c r="U52" s="128">
        <f t="shared" si="22"/>
        <v>0</v>
      </c>
    </row>
    <row r="53" spans="1:21" ht="79.5" customHeight="1">
      <c r="A53" s="41" t="s">
        <v>95</v>
      </c>
      <c r="B53" s="19" t="s">
        <v>96</v>
      </c>
      <c r="C53" s="48"/>
      <c r="D53" s="18"/>
      <c r="E53" s="18">
        <v>4.66667</v>
      </c>
      <c r="F53" s="18"/>
      <c r="G53" s="49"/>
      <c r="H53" s="50"/>
      <c r="I53" s="18"/>
      <c r="J53" s="101"/>
      <c r="K53" s="102">
        <f t="shared" si="20"/>
        <v>4.66667</v>
      </c>
      <c r="L53" s="18"/>
      <c r="M53" s="103"/>
      <c r="N53" s="96">
        <f>1.4+3.26667</f>
        <v>4.66667</v>
      </c>
      <c r="O53" s="96"/>
      <c r="P53" s="49"/>
      <c r="Q53" s="50"/>
      <c r="R53" s="18"/>
      <c r="S53" s="101"/>
      <c r="T53" s="102">
        <f t="shared" si="21"/>
        <v>4.66667</v>
      </c>
      <c r="U53" s="128">
        <f t="shared" si="22"/>
        <v>0</v>
      </c>
    </row>
    <row r="54" spans="1:21" ht="81.75" customHeight="1">
      <c r="A54" s="41" t="s">
        <v>97</v>
      </c>
      <c r="B54" s="19" t="s">
        <v>98</v>
      </c>
      <c r="C54" s="48"/>
      <c r="D54" s="18"/>
      <c r="E54" s="18">
        <v>5.59502</v>
      </c>
      <c r="F54" s="18"/>
      <c r="G54" s="49"/>
      <c r="H54" s="50"/>
      <c r="I54" s="18"/>
      <c r="J54" s="101"/>
      <c r="K54" s="102">
        <f t="shared" si="20"/>
        <v>5.59502</v>
      </c>
      <c r="L54" s="18"/>
      <c r="M54" s="96"/>
      <c r="N54" s="96">
        <f>1.6785+3.91652</f>
        <v>5.59502</v>
      </c>
      <c r="O54" s="96"/>
      <c r="P54" s="96"/>
      <c r="Q54" s="50"/>
      <c r="R54" s="18"/>
      <c r="S54" s="101"/>
      <c r="T54" s="102">
        <f t="shared" si="21"/>
        <v>5.59502</v>
      </c>
      <c r="U54" s="128">
        <f t="shared" si="22"/>
        <v>0</v>
      </c>
    </row>
    <row r="55" spans="1:21" ht="81.75" customHeight="1">
      <c r="A55" s="34" t="s">
        <v>99</v>
      </c>
      <c r="B55" s="17" t="s">
        <v>100</v>
      </c>
      <c r="C55" s="51"/>
      <c r="D55" s="52"/>
      <c r="E55" s="52">
        <v>4.66667</v>
      </c>
      <c r="F55" s="52"/>
      <c r="G55" s="53"/>
      <c r="H55" s="54"/>
      <c r="I55" s="52"/>
      <c r="J55" s="104"/>
      <c r="K55" s="105">
        <f t="shared" si="20"/>
        <v>4.66667</v>
      </c>
      <c r="L55" s="52"/>
      <c r="M55" s="106"/>
      <c r="N55" s="107">
        <f>1.4+3.26667</f>
        <v>4.66667</v>
      </c>
      <c r="O55" s="107"/>
      <c r="P55" s="53"/>
      <c r="Q55" s="54"/>
      <c r="R55" s="52"/>
      <c r="S55" s="104"/>
      <c r="T55" s="105">
        <f t="shared" si="21"/>
        <v>4.66667</v>
      </c>
      <c r="U55" s="116">
        <f t="shared" si="22"/>
        <v>0</v>
      </c>
    </row>
    <row r="56" spans="1:21" ht="81" customHeight="1">
      <c r="A56" s="41" t="s">
        <v>101</v>
      </c>
      <c r="B56" s="19" t="s">
        <v>102</v>
      </c>
      <c r="C56" s="48"/>
      <c r="D56" s="18"/>
      <c r="E56" s="18">
        <v>4.16667</v>
      </c>
      <c r="F56" s="18"/>
      <c r="G56" s="49"/>
      <c r="H56" s="50"/>
      <c r="I56" s="18"/>
      <c r="J56" s="101"/>
      <c r="K56" s="102">
        <f t="shared" si="20"/>
        <v>4.16667</v>
      </c>
      <c r="L56" s="18"/>
      <c r="M56" s="103"/>
      <c r="N56" s="96">
        <f>1.25+2.91667</f>
        <v>4.16667</v>
      </c>
      <c r="O56" s="96"/>
      <c r="P56" s="49"/>
      <c r="Q56" s="50"/>
      <c r="R56" s="18"/>
      <c r="S56" s="101"/>
      <c r="T56" s="102">
        <f t="shared" si="21"/>
        <v>4.16667</v>
      </c>
      <c r="U56" s="128">
        <f t="shared" si="22"/>
        <v>0</v>
      </c>
    </row>
    <row r="57" spans="1:21" ht="84" customHeight="1">
      <c r="A57" s="41" t="s">
        <v>103</v>
      </c>
      <c r="B57" s="19" t="s">
        <v>104</v>
      </c>
      <c r="C57" s="48"/>
      <c r="D57" s="18"/>
      <c r="E57" s="18">
        <v>4.16667</v>
      </c>
      <c r="F57" s="18"/>
      <c r="G57" s="49"/>
      <c r="H57" s="50"/>
      <c r="I57" s="18"/>
      <c r="J57" s="101"/>
      <c r="K57" s="102">
        <f t="shared" si="20"/>
        <v>4.16667</v>
      </c>
      <c r="L57" s="18"/>
      <c r="M57" s="103"/>
      <c r="N57" s="96">
        <f>1.25+2.91667</f>
        <v>4.16667</v>
      </c>
      <c r="O57" s="96"/>
      <c r="P57" s="49"/>
      <c r="Q57" s="50"/>
      <c r="R57" s="18"/>
      <c r="S57" s="101"/>
      <c r="T57" s="102">
        <f t="shared" si="21"/>
        <v>4.16667</v>
      </c>
      <c r="U57" s="128">
        <f t="shared" si="22"/>
        <v>0</v>
      </c>
    </row>
    <row r="58" spans="1:21" ht="69" customHeight="1">
      <c r="A58" s="41" t="s">
        <v>105</v>
      </c>
      <c r="B58" s="19" t="s">
        <v>106</v>
      </c>
      <c r="C58" s="48"/>
      <c r="D58" s="18"/>
      <c r="E58" s="18">
        <f>870+460-295</f>
        <v>1035</v>
      </c>
      <c r="F58" s="18"/>
      <c r="G58" s="49"/>
      <c r="H58" s="50"/>
      <c r="I58" s="18"/>
      <c r="J58" s="101"/>
      <c r="K58" s="102">
        <f t="shared" si="20"/>
        <v>1035</v>
      </c>
      <c r="L58" s="18"/>
      <c r="M58" s="103"/>
      <c r="N58" s="108">
        <f>165+385+145.5+339.5</f>
        <v>1035</v>
      </c>
      <c r="O58" s="96"/>
      <c r="P58" s="49"/>
      <c r="Q58" s="50"/>
      <c r="R58" s="18"/>
      <c r="S58" s="101"/>
      <c r="T58" s="102">
        <f t="shared" si="21"/>
        <v>1035</v>
      </c>
      <c r="U58" s="128">
        <f t="shared" si="22"/>
        <v>0</v>
      </c>
    </row>
    <row r="59" spans="1:21" ht="66" customHeight="1">
      <c r="A59" s="41" t="s">
        <v>107</v>
      </c>
      <c r="B59" s="17" t="s">
        <v>108</v>
      </c>
      <c r="C59" s="51"/>
      <c r="D59" s="52"/>
      <c r="E59" s="52">
        <v>1200</v>
      </c>
      <c r="F59" s="52"/>
      <c r="G59" s="53"/>
      <c r="H59" s="54"/>
      <c r="I59" s="52"/>
      <c r="J59" s="104"/>
      <c r="K59" s="105">
        <f t="shared" si="20"/>
        <v>1200</v>
      </c>
      <c r="L59" s="52"/>
      <c r="M59" s="106"/>
      <c r="N59" s="109">
        <f>177+150+33+413+350+77</f>
        <v>1200</v>
      </c>
      <c r="O59" s="107"/>
      <c r="P59" s="53"/>
      <c r="Q59" s="54"/>
      <c r="R59" s="52"/>
      <c r="S59" s="104"/>
      <c r="T59" s="105">
        <f t="shared" si="21"/>
        <v>1200</v>
      </c>
      <c r="U59" s="116">
        <f t="shared" si="22"/>
        <v>0</v>
      </c>
    </row>
    <row r="60" spans="1:21" ht="67.5" customHeight="1">
      <c r="A60" s="41" t="s">
        <v>109</v>
      </c>
      <c r="B60" s="19" t="s">
        <v>110</v>
      </c>
      <c r="C60" s="48"/>
      <c r="D60" s="18"/>
      <c r="E60" s="18">
        <f>490-468.92362</f>
        <v>21.076379999999972</v>
      </c>
      <c r="F60" s="18"/>
      <c r="G60" s="49"/>
      <c r="H60" s="50"/>
      <c r="I60" s="18"/>
      <c r="J60" s="101"/>
      <c r="K60" s="102">
        <f t="shared" si="20"/>
        <v>21.076379999999972</v>
      </c>
      <c r="L60" s="18"/>
      <c r="M60" s="103"/>
      <c r="N60" s="108">
        <f>6.32291+14.75347</f>
        <v>21.07638</v>
      </c>
      <c r="O60" s="96"/>
      <c r="P60" s="49"/>
      <c r="Q60" s="50"/>
      <c r="R60" s="18"/>
      <c r="S60" s="101"/>
      <c r="T60" s="102">
        <f t="shared" si="21"/>
        <v>21.07638</v>
      </c>
      <c r="U60" s="128">
        <f t="shared" si="22"/>
        <v>-2.842170943040401E-14</v>
      </c>
    </row>
    <row r="61" spans="1:21" ht="57.75" customHeight="1">
      <c r="A61" s="41" t="s">
        <v>111</v>
      </c>
      <c r="B61" s="19" t="s">
        <v>112</v>
      </c>
      <c r="C61" s="48"/>
      <c r="D61" s="18"/>
      <c r="E61" s="18">
        <f>36.66667-11.66667</f>
        <v>25.000000000000004</v>
      </c>
      <c r="F61" s="18"/>
      <c r="G61" s="49"/>
      <c r="H61" s="50"/>
      <c r="I61" s="18"/>
      <c r="J61" s="101"/>
      <c r="K61" s="102">
        <f t="shared" si="20"/>
        <v>25.000000000000004</v>
      </c>
      <c r="L61" s="18"/>
      <c r="M61" s="103"/>
      <c r="N61" s="96">
        <f>5+2.5+17.5</f>
        <v>25</v>
      </c>
      <c r="O61" s="96"/>
      <c r="P61" s="49"/>
      <c r="Q61" s="50"/>
      <c r="R61" s="18"/>
      <c r="S61" s="101"/>
      <c r="T61" s="102">
        <f t="shared" si="21"/>
        <v>25</v>
      </c>
      <c r="U61" s="128">
        <f t="shared" si="22"/>
        <v>0</v>
      </c>
    </row>
    <row r="62" spans="1:21" ht="81" customHeight="1">
      <c r="A62" s="41" t="s">
        <v>113</v>
      </c>
      <c r="B62" s="19" t="s">
        <v>114</v>
      </c>
      <c r="C62" s="48"/>
      <c r="D62" s="18"/>
      <c r="E62" s="18">
        <v>5.53205</v>
      </c>
      <c r="F62" s="18"/>
      <c r="G62" s="49"/>
      <c r="H62" s="50"/>
      <c r="I62" s="18"/>
      <c r="J62" s="101"/>
      <c r="K62" s="102">
        <f t="shared" si="20"/>
        <v>5.53205</v>
      </c>
      <c r="L62" s="18"/>
      <c r="M62" s="103"/>
      <c r="N62" s="96">
        <f>1.65962+3.87243</f>
        <v>5.53205</v>
      </c>
      <c r="O62" s="96"/>
      <c r="P62" s="49"/>
      <c r="Q62" s="50"/>
      <c r="R62" s="18"/>
      <c r="S62" s="101"/>
      <c r="T62" s="102">
        <f t="shared" si="21"/>
        <v>5.53205</v>
      </c>
      <c r="U62" s="128">
        <f t="shared" si="22"/>
        <v>0</v>
      </c>
    </row>
    <row r="63" spans="1:21" ht="96" customHeight="1">
      <c r="A63" s="41" t="s">
        <v>115</v>
      </c>
      <c r="B63" s="19" t="s">
        <v>116</v>
      </c>
      <c r="C63" s="48"/>
      <c r="D63" s="18"/>
      <c r="E63" s="18">
        <v>8.4506</v>
      </c>
      <c r="F63" s="18"/>
      <c r="G63" s="49"/>
      <c r="H63" s="50"/>
      <c r="I63" s="18"/>
      <c r="J63" s="101"/>
      <c r="K63" s="102">
        <f t="shared" si="20"/>
        <v>8.4506</v>
      </c>
      <c r="L63" s="18"/>
      <c r="M63" s="103"/>
      <c r="N63" s="96">
        <f>2.53518+5.91542</f>
        <v>8.4506</v>
      </c>
      <c r="O63" s="96"/>
      <c r="P63" s="49"/>
      <c r="Q63" s="50"/>
      <c r="R63" s="18"/>
      <c r="S63" s="101"/>
      <c r="T63" s="102">
        <f t="shared" si="21"/>
        <v>8.4506</v>
      </c>
      <c r="U63" s="128">
        <f t="shared" si="22"/>
        <v>0</v>
      </c>
    </row>
    <row r="64" spans="1:21" ht="28.5" customHeight="1">
      <c r="A64" s="57" t="s">
        <v>117</v>
      </c>
      <c r="B64" s="4" t="s">
        <v>118</v>
      </c>
      <c r="C64" s="21">
        <f aca="true" t="shared" si="23" ref="C64:J64">C65</f>
        <v>643.4</v>
      </c>
      <c r="D64" s="22">
        <f t="shared" si="23"/>
        <v>881.9</v>
      </c>
      <c r="E64" s="22">
        <f t="shared" si="23"/>
        <v>994.09633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110">
        <f t="shared" si="23"/>
        <v>0</v>
      </c>
      <c r="K64" s="58">
        <f t="shared" si="20"/>
        <v>2519.39633</v>
      </c>
      <c r="L64" s="68">
        <f aca="true" t="shared" si="24" ref="L64:S64">L65</f>
        <v>643.4</v>
      </c>
      <c r="M64" s="22">
        <f t="shared" si="24"/>
        <v>881.87367</v>
      </c>
      <c r="N64" s="23">
        <f t="shared" si="24"/>
        <v>994.09633</v>
      </c>
      <c r="O64" s="22">
        <f t="shared" si="24"/>
        <v>0</v>
      </c>
      <c r="P64" s="23">
        <f t="shared" si="24"/>
        <v>0</v>
      </c>
      <c r="Q64" s="22">
        <f t="shared" si="24"/>
        <v>0</v>
      </c>
      <c r="R64" s="23">
        <f t="shared" si="24"/>
        <v>0</v>
      </c>
      <c r="S64" s="22">
        <f t="shared" si="24"/>
        <v>0</v>
      </c>
      <c r="T64" s="58">
        <f t="shared" si="21"/>
        <v>2519.37</v>
      </c>
      <c r="U64" s="22">
        <f t="shared" si="22"/>
        <v>0.026330000000143627</v>
      </c>
    </row>
    <row r="65" spans="1:21" ht="63" customHeight="1">
      <c r="A65" s="129" t="s">
        <v>119</v>
      </c>
      <c r="B65" s="130" t="s">
        <v>120</v>
      </c>
      <c r="C65" s="131">
        <v>643.4</v>
      </c>
      <c r="D65" s="132">
        <v>881.9</v>
      </c>
      <c r="E65" s="132">
        <f>994+0.1-0.00367</f>
        <v>994.09633</v>
      </c>
      <c r="F65" s="133"/>
      <c r="G65" s="133"/>
      <c r="H65" s="133"/>
      <c r="I65" s="133"/>
      <c r="J65" s="184"/>
      <c r="K65" s="185">
        <f t="shared" si="20"/>
        <v>2519.39633</v>
      </c>
      <c r="L65" s="186">
        <v>643.4</v>
      </c>
      <c r="M65" s="186">
        <v>881.87367</v>
      </c>
      <c r="N65" s="186">
        <v>994.09633</v>
      </c>
      <c r="O65" s="133"/>
      <c r="P65" s="133"/>
      <c r="Q65" s="133"/>
      <c r="R65" s="133"/>
      <c r="S65" s="184"/>
      <c r="T65" s="187">
        <f t="shared" si="21"/>
        <v>2519.37</v>
      </c>
      <c r="U65" s="217">
        <f t="shared" si="22"/>
        <v>0.026330000000143627</v>
      </c>
    </row>
    <row r="66" spans="1:21" ht="30.75" customHeight="1">
      <c r="A66" s="134" t="s">
        <v>121</v>
      </c>
      <c r="B66" s="135" t="s">
        <v>122</v>
      </c>
      <c r="C66" s="136">
        <f aca="true" t="shared" si="25" ref="C66:J66">C67</f>
        <v>0</v>
      </c>
      <c r="D66" s="136">
        <f t="shared" si="25"/>
        <v>0</v>
      </c>
      <c r="E66" s="136">
        <f t="shared" si="25"/>
        <v>1626.41988</v>
      </c>
      <c r="F66" s="136">
        <f t="shared" si="25"/>
        <v>0</v>
      </c>
      <c r="G66" s="136">
        <f t="shared" si="25"/>
        <v>0</v>
      </c>
      <c r="H66" s="136">
        <f t="shared" si="25"/>
        <v>0</v>
      </c>
      <c r="I66" s="136">
        <f t="shared" si="25"/>
        <v>0</v>
      </c>
      <c r="J66" s="136">
        <f t="shared" si="25"/>
        <v>0</v>
      </c>
      <c r="K66" s="187">
        <f t="shared" si="20"/>
        <v>1626.41988</v>
      </c>
      <c r="L66" s="188">
        <f aca="true" t="shared" si="26" ref="L66:S66">L67</f>
        <v>0</v>
      </c>
      <c r="M66" s="22">
        <f t="shared" si="26"/>
        <v>0</v>
      </c>
      <c r="N66" s="22">
        <f t="shared" si="26"/>
        <v>1626.4198800000001</v>
      </c>
      <c r="O66" s="189">
        <f t="shared" si="26"/>
        <v>0</v>
      </c>
      <c r="P66" s="22">
        <f t="shared" si="26"/>
        <v>0</v>
      </c>
      <c r="Q66" s="189">
        <f t="shared" si="26"/>
        <v>0</v>
      </c>
      <c r="R66" s="22">
        <f t="shared" si="26"/>
        <v>0</v>
      </c>
      <c r="S66" s="218">
        <f t="shared" si="26"/>
        <v>0</v>
      </c>
      <c r="T66" s="187">
        <f t="shared" si="21"/>
        <v>1626.4198800000001</v>
      </c>
      <c r="U66" s="217">
        <f t="shared" si="22"/>
        <v>0</v>
      </c>
    </row>
    <row r="67" spans="1:21" ht="24" customHeight="1">
      <c r="A67" s="3" t="s">
        <v>123</v>
      </c>
      <c r="B67" s="4" t="s">
        <v>124</v>
      </c>
      <c r="C67" s="5">
        <f aca="true" t="shared" si="27" ref="C67:J67">C68+C69</f>
        <v>0</v>
      </c>
      <c r="D67" s="5">
        <f t="shared" si="27"/>
        <v>0</v>
      </c>
      <c r="E67" s="5">
        <f t="shared" si="27"/>
        <v>1626.41988</v>
      </c>
      <c r="F67" s="5">
        <f t="shared" si="27"/>
        <v>0</v>
      </c>
      <c r="G67" s="5">
        <f t="shared" si="27"/>
        <v>0</v>
      </c>
      <c r="H67" s="5">
        <f t="shared" si="27"/>
        <v>0</v>
      </c>
      <c r="I67" s="5">
        <f t="shared" si="27"/>
        <v>0</v>
      </c>
      <c r="J67" s="5">
        <f t="shared" si="27"/>
        <v>0</v>
      </c>
      <c r="K67" s="58">
        <f t="shared" si="20"/>
        <v>1626.41988</v>
      </c>
      <c r="L67" s="82">
        <f aca="true" t="shared" si="28" ref="L67:S67">L68+L69</f>
        <v>0</v>
      </c>
      <c r="M67" s="82">
        <f t="shared" si="28"/>
        <v>0</v>
      </c>
      <c r="N67" s="82">
        <f t="shared" si="28"/>
        <v>1626.4198800000001</v>
      </c>
      <c r="O67" s="82">
        <f t="shared" si="28"/>
        <v>0</v>
      </c>
      <c r="P67" s="82">
        <f t="shared" si="28"/>
        <v>0</v>
      </c>
      <c r="Q67" s="82">
        <f t="shared" si="28"/>
        <v>0</v>
      </c>
      <c r="R67" s="82">
        <f t="shared" si="28"/>
        <v>0</v>
      </c>
      <c r="S67" s="82">
        <f t="shared" si="28"/>
        <v>0</v>
      </c>
      <c r="T67" s="58">
        <f t="shared" si="21"/>
        <v>1626.4198800000001</v>
      </c>
      <c r="U67" s="22">
        <f t="shared" si="22"/>
        <v>0</v>
      </c>
    </row>
    <row r="68" spans="1:21" ht="57" customHeight="1">
      <c r="A68" s="137" t="s">
        <v>125</v>
      </c>
      <c r="B68" s="138" t="s">
        <v>126</v>
      </c>
      <c r="C68" s="12"/>
      <c r="D68" s="13"/>
      <c r="E68" s="13">
        <v>1135.20888</v>
      </c>
      <c r="F68" s="13"/>
      <c r="G68" s="13"/>
      <c r="H68" s="13"/>
      <c r="I68" s="13"/>
      <c r="J68" s="190"/>
      <c r="K68" s="64">
        <f t="shared" si="20"/>
        <v>1135.20888</v>
      </c>
      <c r="L68" s="13"/>
      <c r="M68" s="191"/>
      <c r="N68" s="191">
        <f>243.931+297.571+299.897+293.80988</f>
        <v>1135.2088800000001</v>
      </c>
      <c r="O68" s="191"/>
      <c r="P68" s="13"/>
      <c r="Q68" s="13"/>
      <c r="R68" s="13"/>
      <c r="S68" s="190"/>
      <c r="T68" s="98">
        <f t="shared" si="21"/>
        <v>1135.2088800000001</v>
      </c>
      <c r="U68" s="127">
        <f t="shared" si="22"/>
        <v>0</v>
      </c>
    </row>
    <row r="69" spans="1:21" ht="69" customHeight="1">
      <c r="A69" s="139" t="s">
        <v>127</v>
      </c>
      <c r="B69" s="35" t="s">
        <v>128</v>
      </c>
      <c r="C69" s="140"/>
      <c r="D69" s="141"/>
      <c r="E69" s="141">
        <v>491.211</v>
      </c>
      <c r="F69" s="141"/>
      <c r="G69" s="141"/>
      <c r="H69" s="141"/>
      <c r="I69" s="141"/>
      <c r="J69" s="192"/>
      <c r="K69" s="64">
        <f t="shared" si="20"/>
        <v>491.211</v>
      </c>
      <c r="L69" s="141"/>
      <c r="M69" s="193"/>
      <c r="N69" s="193">
        <v>491.211</v>
      </c>
      <c r="O69" s="193"/>
      <c r="P69" s="141"/>
      <c r="Q69" s="141"/>
      <c r="R69" s="141"/>
      <c r="S69" s="192"/>
      <c r="T69" s="64">
        <f t="shared" si="21"/>
        <v>491.211</v>
      </c>
      <c r="U69" s="113">
        <f t="shared" si="22"/>
        <v>0</v>
      </c>
    </row>
    <row r="70" spans="1:21" ht="27.75" customHeight="1">
      <c r="A70" s="142" t="s">
        <v>129</v>
      </c>
      <c r="B70" s="143" t="s">
        <v>130</v>
      </c>
      <c r="C70" s="21">
        <f aca="true" t="shared" si="29" ref="C70:T70">C71+C75</f>
        <v>9525.839</v>
      </c>
      <c r="D70" s="21">
        <f t="shared" si="29"/>
        <v>4718.361</v>
      </c>
      <c r="E70" s="21">
        <f t="shared" si="29"/>
        <v>3366.2001</v>
      </c>
      <c r="F70" s="21">
        <f t="shared" si="29"/>
        <v>0</v>
      </c>
      <c r="G70" s="21">
        <f t="shared" si="29"/>
        <v>0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58">
        <f t="shared" si="29"/>
        <v>17610.4001</v>
      </c>
      <c r="L70" s="162">
        <f t="shared" si="29"/>
        <v>9525.83899</v>
      </c>
      <c r="M70" s="162">
        <f t="shared" si="29"/>
        <v>4718.360999999999</v>
      </c>
      <c r="N70" s="68">
        <f t="shared" si="29"/>
        <v>3366.20001</v>
      </c>
      <c r="O70" s="68">
        <f t="shared" si="29"/>
        <v>0</v>
      </c>
      <c r="P70" s="68">
        <f t="shared" si="29"/>
        <v>0</v>
      </c>
      <c r="Q70" s="68">
        <f t="shared" si="29"/>
        <v>0</v>
      </c>
      <c r="R70" s="68">
        <f t="shared" si="29"/>
        <v>0</v>
      </c>
      <c r="S70" s="68">
        <f t="shared" si="29"/>
        <v>0</v>
      </c>
      <c r="T70" s="58">
        <f t="shared" si="29"/>
        <v>17610.4</v>
      </c>
      <c r="U70" s="219">
        <f t="shared" si="22"/>
        <v>9.999999747378752E-05</v>
      </c>
    </row>
    <row r="71" spans="1:21" ht="27.75" customHeight="1">
      <c r="A71" s="3" t="s">
        <v>131</v>
      </c>
      <c r="B71" s="4" t="s">
        <v>132</v>
      </c>
      <c r="C71" s="5">
        <f aca="true" t="shared" si="30" ref="C71:U71">C72+C73+C74</f>
        <v>9525.839</v>
      </c>
      <c r="D71" s="5">
        <f t="shared" si="30"/>
        <v>4718.361</v>
      </c>
      <c r="E71" s="5">
        <f t="shared" si="30"/>
        <v>614.7001</v>
      </c>
      <c r="F71" s="5">
        <f t="shared" si="30"/>
        <v>0</v>
      </c>
      <c r="G71" s="5">
        <f t="shared" si="30"/>
        <v>0</v>
      </c>
      <c r="H71" s="5">
        <f t="shared" si="30"/>
        <v>0</v>
      </c>
      <c r="I71" s="5">
        <f t="shared" si="30"/>
        <v>0</v>
      </c>
      <c r="J71" s="5">
        <f t="shared" si="30"/>
        <v>0</v>
      </c>
      <c r="K71" s="58">
        <f t="shared" si="30"/>
        <v>14858.900099999999</v>
      </c>
      <c r="L71" s="82">
        <f t="shared" si="30"/>
        <v>9525.83899</v>
      </c>
      <c r="M71" s="82">
        <f t="shared" si="30"/>
        <v>4718.360999999999</v>
      </c>
      <c r="N71" s="82">
        <f t="shared" si="30"/>
        <v>614.7000099999999</v>
      </c>
      <c r="O71" s="82">
        <f t="shared" si="30"/>
        <v>0</v>
      </c>
      <c r="P71" s="82">
        <f t="shared" si="30"/>
        <v>0</v>
      </c>
      <c r="Q71" s="82">
        <f t="shared" si="30"/>
        <v>0</v>
      </c>
      <c r="R71" s="82">
        <f t="shared" si="30"/>
        <v>0</v>
      </c>
      <c r="S71" s="82">
        <f t="shared" si="30"/>
        <v>0</v>
      </c>
      <c r="T71" s="58">
        <f t="shared" si="30"/>
        <v>14858.9</v>
      </c>
      <c r="U71" s="124">
        <f t="shared" si="30"/>
        <v>9.999999929277692E-05</v>
      </c>
    </row>
    <row r="72" spans="1:21" ht="69" customHeight="1">
      <c r="A72" s="144" t="s">
        <v>133</v>
      </c>
      <c r="B72" s="145" t="s">
        <v>134</v>
      </c>
      <c r="C72" s="146">
        <v>7025.839</v>
      </c>
      <c r="D72" s="147">
        <v>1867.761</v>
      </c>
      <c r="E72" s="147">
        <f>468+0.1+0.0001</f>
        <v>468.1001</v>
      </c>
      <c r="F72" s="147"/>
      <c r="G72" s="147"/>
      <c r="H72" s="147"/>
      <c r="I72" s="147"/>
      <c r="J72" s="194"/>
      <c r="K72" s="195">
        <f>SUM(C72:J72)</f>
        <v>9361.7001</v>
      </c>
      <c r="L72" s="196">
        <v>7025.83899</v>
      </c>
      <c r="M72" s="197">
        <v>1867.761</v>
      </c>
      <c r="N72" s="197">
        <f>451.29896+16.80105</f>
        <v>468.10001</v>
      </c>
      <c r="O72" s="197"/>
      <c r="P72" s="197"/>
      <c r="Q72" s="197"/>
      <c r="R72" s="197"/>
      <c r="S72" s="220"/>
      <c r="T72" s="187">
        <f>SUM(L72:S72)</f>
        <v>9361.7</v>
      </c>
      <c r="U72" s="221">
        <f>K72-T72</f>
        <v>9.999999929277692E-05</v>
      </c>
    </row>
    <row r="73" spans="1:21" ht="57" customHeight="1">
      <c r="A73" s="148" t="s">
        <v>135</v>
      </c>
      <c r="B73" s="149" t="s">
        <v>136</v>
      </c>
      <c r="C73" s="150"/>
      <c r="D73" s="151">
        <v>2784.6</v>
      </c>
      <c r="E73" s="151">
        <v>146.6</v>
      </c>
      <c r="F73" s="152"/>
      <c r="G73" s="152"/>
      <c r="H73" s="152"/>
      <c r="I73" s="152"/>
      <c r="J73" s="198"/>
      <c r="K73" s="64">
        <f>SUM(C73:J73)</f>
        <v>2931.2</v>
      </c>
      <c r="L73" s="199"/>
      <c r="M73" s="200">
        <f>237.50959+117.51974+512.07067+1187.45355+38.94848+49.68306+29.82883+29.82883+166.1485+133.48878+89.5055+50.34803+52.24796+52.01997+37.99851</f>
        <v>2784.5999999999995</v>
      </c>
      <c r="N73" s="200">
        <f>12.49041+6.18026+26.92933+62.54645+2.05152+2.61694+1.57117+1.57117+8.7515+7.03122+4.7145+2.65197+2.75204+2.74003+2.00149</f>
        <v>146.59999999999994</v>
      </c>
      <c r="O73" s="200"/>
      <c r="P73" s="200"/>
      <c r="Q73" s="200"/>
      <c r="R73" s="200"/>
      <c r="S73" s="222"/>
      <c r="T73" s="223">
        <f>SUM(L73:S73)</f>
        <v>2931.1999999999994</v>
      </c>
      <c r="U73" s="224">
        <f>K73-T73</f>
        <v>0</v>
      </c>
    </row>
    <row r="74" spans="1:21" ht="58.5" customHeight="1">
      <c r="A74" s="153" t="s">
        <v>137</v>
      </c>
      <c r="B74" s="154" t="s">
        <v>138</v>
      </c>
      <c r="C74" s="155">
        <v>2500</v>
      </c>
      <c r="D74" s="156">
        <v>66</v>
      </c>
      <c r="E74" s="156"/>
      <c r="F74" s="157"/>
      <c r="G74" s="157"/>
      <c r="H74" s="157"/>
      <c r="I74" s="157"/>
      <c r="J74" s="201"/>
      <c r="K74" s="92">
        <f>SUM(C74:J74)</f>
        <v>2566</v>
      </c>
      <c r="L74" s="202">
        <f>2444.67059+55.32941</f>
        <v>2500</v>
      </c>
      <c r="M74" s="203">
        <f>64.53941+1.46059</f>
        <v>66</v>
      </c>
      <c r="N74" s="203"/>
      <c r="O74" s="203"/>
      <c r="P74" s="203"/>
      <c r="Q74" s="203"/>
      <c r="R74" s="203"/>
      <c r="S74" s="225"/>
      <c r="T74" s="92">
        <f>SUM(L74:S74)</f>
        <v>2566</v>
      </c>
      <c r="U74" s="226">
        <f>K74-T74</f>
        <v>0</v>
      </c>
    </row>
    <row r="75" spans="1:21" ht="33" customHeight="1">
      <c r="A75" s="3" t="s">
        <v>139</v>
      </c>
      <c r="B75" s="4" t="s">
        <v>140</v>
      </c>
      <c r="C75" s="5">
        <f aca="true" t="shared" si="31" ref="C75:U75">C76</f>
        <v>0</v>
      </c>
      <c r="D75" s="5">
        <f t="shared" si="31"/>
        <v>0</v>
      </c>
      <c r="E75" s="5">
        <f t="shared" si="31"/>
        <v>2751.5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8">
        <f t="shared" si="31"/>
        <v>2751.5</v>
      </c>
      <c r="L75" s="82">
        <f t="shared" si="31"/>
        <v>0</v>
      </c>
      <c r="M75" s="82">
        <f t="shared" si="31"/>
        <v>0</v>
      </c>
      <c r="N75" s="82">
        <f t="shared" si="31"/>
        <v>2751.5</v>
      </c>
      <c r="O75" s="82">
        <f t="shared" si="31"/>
        <v>0</v>
      </c>
      <c r="P75" s="82">
        <f t="shared" si="31"/>
        <v>0</v>
      </c>
      <c r="Q75" s="82">
        <f t="shared" si="31"/>
        <v>0</v>
      </c>
      <c r="R75" s="82">
        <f t="shared" si="31"/>
        <v>0</v>
      </c>
      <c r="S75" s="82">
        <f t="shared" si="31"/>
        <v>0</v>
      </c>
      <c r="T75" s="58">
        <f t="shared" si="31"/>
        <v>2751.5</v>
      </c>
      <c r="U75" s="124">
        <f t="shared" si="31"/>
        <v>0</v>
      </c>
    </row>
    <row r="76" spans="1:21" ht="69.75" customHeight="1">
      <c r="A76" s="158" t="s">
        <v>141</v>
      </c>
      <c r="B76" s="159" t="s">
        <v>142</v>
      </c>
      <c r="C76" s="160"/>
      <c r="D76" s="161"/>
      <c r="E76" s="161">
        <f>1500+1251.5</f>
        <v>2751.5</v>
      </c>
      <c r="F76" s="161"/>
      <c r="G76" s="161"/>
      <c r="H76" s="161"/>
      <c r="I76" s="161"/>
      <c r="J76" s="204"/>
      <c r="K76" s="205">
        <f>SUM(C76:J76)</f>
        <v>2751.5</v>
      </c>
      <c r="L76" s="206"/>
      <c r="M76" s="207"/>
      <c r="N76" s="208">
        <f>90+3.87+491.34+206.825+1719.965+43+145+51.5</f>
        <v>2751.5</v>
      </c>
      <c r="O76" s="207"/>
      <c r="P76" s="207"/>
      <c r="Q76" s="207"/>
      <c r="R76" s="207"/>
      <c r="S76" s="227"/>
      <c r="T76" s="187">
        <f>SUM(L76:S76)</f>
        <v>2751.5</v>
      </c>
      <c r="U76" s="221">
        <f>K76-T76</f>
        <v>0</v>
      </c>
    </row>
    <row r="77" spans="1:21" ht="24" customHeight="1">
      <c r="A77" s="142" t="s">
        <v>143</v>
      </c>
      <c r="B77" s="143" t="s">
        <v>144</v>
      </c>
      <c r="C77" s="21">
        <f aca="true" t="shared" si="32" ref="C77:T77">C78</f>
        <v>0</v>
      </c>
      <c r="D77" s="21">
        <f t="shared" si="32"/>
        <v>900.9</v>
      </c>
      <c r="E77" s="22">
        <f t="shared" si="32"/>
        <v>502.94246</v>
      </c>
      <c r="F77" s="162">
        <f t="shared" si="32"/>
        <v>0</v>
      </c>
      <c r="G77" s="22">
        <f t="shared" si="32"/>
        <v>0</v>
      </c>
      <c r="H77" s="162">
        <f t="shared" si="32"/>
        <v>0</v>
      </c>
      <c r="I77" s="22">
        <f t="shared" si="32"/>
        <v>0</v>
      </c>
      <c r="J77" s="82">
        <f t="shared" si="32"/>
        <v>0</v>
      </c>
      <c r="K77" s="58">
        <f t="shared" si="32"/>
        <v>1403.8424599999998</v>
      </c>
      <c r="L77" s="162">
        <f t="shared" si="32"/>
        <v>0</v>
      </c>
      <c r="M77" s="22">
        <f t="shared" si="32"/>
        <v>855.95</v>
      </c>
      <c r="N77" s="162">
        <f t="shared" si="32"/>
        <v>502.94246</v>
      </c>
      <c r="O77" s="22">
        <f t="shared" si="32"/>
        <v>0</v>
      </c>
      <c r="P77" s="162">
        <f t="shared" si="32"/>
        <v>0</v>
      </c>
      <c r="Q77" s="22">
        <f t="shared" si="32"/>
        <v>0</v>
      </c>
      <c r="R77" s="162">
        <f t="shared" si="32"/>
        <v>0</v>
      </c>
      <c r="S77" s="22">
        <f t="shared" si="32"/>
        <v>0</v>
      </c>
      <c r="T77" s="58">
        <f t="shared" si="32"/>
        <v>1358.89246</v>
      </c>
      <c r="U77" s="22">
        <f>K77-T77</f>
        <v>44.94999999999982</v>
      </c>
    </row>
    <row r="78" spans="1:21" ht="57" customHeight="1">
      <c r="A78" s="163" t="s">
        <v>145</v>
      </c>
      <c r="B78" s="159" t="s">
        <v>146</v>
      </c>
      <c r="C78" s="164"/>
      <c r="D78" s="13">
        <v>900.9</v>
      </c>
      <c r="E78" s="165">
        <f>521-18.05754</f>
        <v>502.94246</v>
      </c>
      <c r="F78" s="13"/>
      <c r="G78" s="13"/>
      <c r="H78" s="13"/>
      <c r="I78" s="13"/>
      <c r="J78" s="190"/>
      <c r="K78" s="61">
        <f>SUM(C78:J78)</f>
        <v>1403.8424599999998</v>
      </c>
      <c r="L78" s="191"/>
      <c r="M78" s="191">
        <v>855.95</v>
      </c>
      <c r="N78" s="191">
        <v>502.94246</v>
      </c>
      <c r="O78" s="191"/>
      <c r="P78" s="191"/>
      <c r="Q78" s="191"/>
      <c r="R78" s="191"/>
      <c r="S78" s="228"/>
      <c r="T78" s="61">
        <f>SUM(L78:S78)</f>
        <v>1358.89246</v>
      </c>
      <c r="U78" s="229">
        <f>K78-T78</f>
        <v>44.94999999999982</v>
      </c>
    </row>
    <row r="79" spans="1:21" ht="42.75" customHeight="1">
      <c r="A79" s="142" t="s">
        <v>147</v>
      </c>
      <c r="B79" s="143" t="s">
        <v>148</v>
      </c>
      <c r="C79" s="21">
        <f aca="true" t="shared" si="33" ref="C79:J79">C80</f>
        <v>0</v>
      </c>
      <c r="D79" s="21">
        <f t="shared" si="33"/>
        <v>0</v>
      </c>
      <c r="E79" s="21">
        <f t="shared" si="33"/>
        <v>2401.3896999999997</v>
      </c>
      <c r="F79" s="21">
        <f t="shared" si="33"/>
        <v>0</v>
      </c>
      <c r="G79" s="21">
        <f t="shared" si="33"/>
        <v>0</v>
      </c>
      <c r="H79" s="21">
        <f t="shared" si="33"/>
        <v>0</v>
      </c>
      <c r="I79" s="21">
        <f t="shared" si="33"/>
        <v>0</v>
      </c>
      <c r="J79" s="21">
        <f t="shared" si="33"/>
        <v>0</v>
      </c>
      <c r="K79" s="58">
        <f aca="true" t="shared" si="34" ref="K79:T79">K80</f>
        <v>2401.3896999999997</v>
      </c>
      <c r="L79" s="162">
        <f t="shared" si="34"/>
        <v>0</v>
      </c>
      <c r="M79" s="22">
        <f t="shared" si="34"/>
        <v>0</v>
      </c>
      <c r="N79" s="162">
        <f t="shared" si="34"/>
        <v>2401.3897</v>
      </c>
      <c r="O79" s="22">
        <f t="shared" si="34"/>
        <v>0</v>
      </c>
      <c r="P79" s="162">
        <f t="shared" si="34"/>
        <v>0</v>
      </c>
      <c r="Q79" s="22">
        <f t="shared" si="34"/>
        <v>0</v>
      </c>
      <c r="R79" s="162">
        <f t="shared" si="34"/>
        <v>0</v>
      </c>
      <c r="S79" s="22">
        <f t="shared" si="34"/>
        <v>0</v>
      </c>
      <c r="T79" s="58">
        <f t="shared" si="34"/>
        <v>2401.3897</v>
      </c>
      <c r="U79" s="22">
        <f>K79-T79</f>
        <v>0</v>
      </c>
    </row>
    <row r="80" spans="1:21" ht="57" customHeight="1">
      <c r="A80" s="166" t="s">
        <v>149</v>
      </c>
      <c r="B80" s="35" t="s">
        <v>150</v>
      </c>
      <c r="C80" s="16"/>
      <c r="D80" s="16"/>
      <c r="E80" s="16">
        <f>2413.457-12.0673</f>
        <v>2401.3896999999997</v>
      </c>
      <c r="F80" s="16"/>
      <c r="G80" s="16"/>
      <c r="H80" s="16"/>
      <c r="I80" s="16"/>
      <c r="J80" s="95"/>
      <c r="K80" s="64">
        <f>SUM(C80:J80)</f>
        <v>2401.3896999999997</v>
      </c>
      <c r="L80" s="86"/>
      <c r="M80" s="209"/>
      <c r="N80" s="86">
        <v>2401.3897</v>
      </c>
      <c r="O80" s="209"/>
      <c r="P80" s="86"/>
      <c r="Q80" s="209"/>
      <c r="R80" s="86"/>
      <c r="S80" s="230"/>
      <c r="T80" s="64">
        <f>SUM(L80:S80)</f>
        <v>2401.3897</v>
      </c>
      <c r="U80" s="224">
        <f aca="true" t="shared" si="35" ref="U80:U91">K80-T80</f>
        <v>0</v>
      </c>
    </row>
    <row r="81" spans="1:21" ht="48" customHeight="1">
      <c r="A81" s="142" t="s">
        <v>151</v>
      </c>
      <c r="B81" s="143" t="s">
        <v>152</v>
      </c>
      <c r="C81" s="5">
        <f aca="true" t="shared" si="36" ref="C81:T81">C82</f>
        <v>46919.737940000006</v>
      </c>
      <c r="D81" s="5">
        <f t="shared" si="36"/>
        <v>1955.06206</v>
      </c>
      <c r="E81" s="5">
        <f t="shared" si="36"/>
        <v>18102.46</v>
      </c>
      <c r="F81" s="5">
        <f t="shared" si="36"/>
        <v>0</v>
      </c>
      <c r="G81" s="5">
        <f t="shared" si="36"/>
        <v>0</v>
      </c>
      <c r="H81" s="5">
        <f t="shared" si="36"/>
        <v>0</v>
      </c>
      <c r="I81" s="5">
        <f t="shared" si="36"/>
        <v>0</v>
      </c>
      <c r="J81" s="5">
        <f t="shared" si="36"/>
        <v>0</v>
      </c>
      <c r="K81" s="58">
        <f t="shared" si="36"/>
        <v>66977.26000000001</v>
      </c>
      <c r="L81" s="162">
        <f t="shared" si="36"/>
        <v>46919.73794</v>
      </c>
      <c r="M81" s="22">
        <f t="shared" si="36"/>
        <v>1954.98908</v>
      </c>
      <c r="N81" s="162">
        <f t="shared" si="36"/>
        <v>18102.46</v>
      </c>
      <c r="O81" s="22">
        <f t="shared" si="36"/>
        <v>0</v>
      </c>
      <c r="P81" s="162">
        <f t="shared" si="36"/>
        <v>0</v>
      </c>
      <c r="Q81" s="22">
        <f t="shared" si="36"/>
        <v>0</v>
      </c>
      <c r="R81" s="162">
        <f t="shared" si="36"/>
        <v>0</v>
      </c>
      <c r="S81" s="22">
        <f t="shared" si="36"/>
        <v>0</v>
      </c>
      <c r="T81" s="58">
        <f t="shared" si="36"/>
        <v>66977.18702</v>
      </c>
      <c r="U81" s="22">
        <f t="shared" si="35"/>
        <v>0.07298000001173932</v>
      </c>
    </row>
    <row r="82" spans="1:21" ht="84.75" customHeight="1">
      <c r="A82" s="163" t="s">
        <v>153</v>
      </c>
      <c r="B82" s="35" t="s">
        <v>154</v>
      </c>
      <c r="C82" s="13">
        <f>46919.8-0.06206</f>
        <v>46919.737940000006</v>
      </c>
      <c r="D82" s="165">
        <f>1955+0.06206</f>
        <v>1955.06206</v>
      </c>
      <c r="E82" s="165">
        <f>17892+210.7-0.24</f>
        <v>18102.46</v>
      </c>
      <c r="F82" s="13"/>
      <c r="G82" s="13"/>
      <c r="H82" s="13"/>
      <c r="I82" s="13"/>
      <c r="J82" s="190"/>
      <c r="K82" s="61">
        <f>SUM(C82:J82)</f>
        <v>66977.26000000001</v>
      </c>
      <c r="L82" s="210">
        <f>1304.00165+566.31423+1822.4467+1481.76546+1155.23594+848.85309+1029.21584+38711.90503</f>
        <v>46919.73794</v>
      </c>
      <c r="M82" s="210">
        <f>54.3334+23.59643+75.93528+61.74023+48.13483+35.36888+42.88399+1612.99604</f>
        <v>1954.98908</v>
      </c>
      <c r="N82" s="210">
        <f>497.25095+215.95087+694.94802+565.03709+440.52258+323.69055+392.46773+210.7+14761.89221</f>
        <v>18102.46</v>
      </c>
      <c r="O82" s="191"/>
      <c r="P82" s="191"/>
      <c r="Q82" s="191"/>
      <c r="R82" s="191"/>
      <c r="S82" s="228"/>
      <c r="T82" s="61">
        <f>SUM(L82:S82)</f>
        <v>66977.18702</v>
      </c>
      <c r="U82" s="231">
        <f t="shared" si="35"/>
        <v>0.07298000001173932</v>
      </c>
    </row>
    <row r="83" spans="1:21" ht="58.5" customHeight="1">
      <c r="A83" s="142" t="s">
        <v>155</v>
      </c>
      <c r="B83" s="143" t="s">
        <v>156</v>
      </c>
      <c r="C83" s="5">
        <f aca="true" t="shared" si="37" ref="C83:T83">C84</f>
        <v>0</v>
      </c>
      <c r="D83" s="5">
        <f t="shared" si="37"/>
        <v>14100</v>
      </c>
      <c r="E83" s="5">
        <f t="shared" si="37"/>
        <v>899.99975</v>
      </c>
      <c r="F83" s="5">
        <f t="shared" si="37"/>
        <v>0</v>
      </c>
      <c r="G83" s="5">
        <f t="shared" si="37"/>
        <v>0</v>
      </c>
      <c r="H83" s="5">
        <f t="shared" si="37"/>
        <v>0</v>
      </c>
      <c r="I83" s="5">
        <f t="shared" si="37"/>
        <v>0</v>
      </c>
      <c r="J83" s="5">
        <f t="shared" si="37"/>
        <v>0</v>
      </c>
      <c r="K83" s="58">
        <f t="shared" si="37"/>
        <v>14999.999749999999</v>
      </c>
      <c r="L83" s="162">
        <f t="shared" si="37"/>
        <v>0</v>
      </c>
      <c r="M83" s="22">
        <f t="shared" si="37"/>
        <v>14099.99601</v>
      </c>
      <c r="N83" s="162">
        <f t="shared" si="37"/>
        <v>899.99975</v>
      </c>
      <c r="O83" s="22">
        <f t="shared" si="37"/>
        <v>0</v>
      </c>
      <c r="P83" s="162">
        <f t="shared" si="37"/>
        <v>0</v>
      </c>
      <c r="Q83" s="22">
        <f t="shared" si="37"/>
        <v>0</v>
      </c>
      <c r="R83" s="162">
        <f t="shared" si="37"/>
        <v>0</v>
      </c>
      <c r="S83" s="22">
        <f t="shared" si="37"/>
        <v>0</v>
      </c>
      <c r="T83" s="58">
        <f t="shared" si="37"/>
        <v>14999.995760000002</v>
      </c>
      <c r="U83" s="22">
        <f t="shared" si="35"/>
        <v>0.00398999999742955</v>
      </c>
    </row>
    <row r="84" spans="1:21" ht="66" customHeight="1">
      <c r="A84" s="167" t="s">
        <v>157</v>
      </c>
      <c r="B84" s="168" t="s">
        <v>158</v>
      </c>
      <c r="C84" s="169"/>
      <c r="D84" s="170">
        <v>14100</v>
      </c>
      <c r="E84" s="170">
        <f>900-0.00025</f>
        <v>899.99975</v>
      </c>
      <c r="F84" s="169"/>
      <c r="G84" s="169"/>
      <c r="H84" s="169"/>
      <c r="I84" s="169"/>
      <c r="J84" s="211"/>
      <c r="K84" s="58">
        <f>SUM(C84:J84)</f>
        <v>14999.999749999999</v>
      </c>
      <c r="L84" s="212"/>
      <c r="M84" s="212">
        <v>14099.99601</v>
      </c>
      <c r="N84" s="212">
        <v>899.99975</v>
      </c>
      <c r="O84" s="212"/>
      <c r="P84" s="212"/>
      <c r="Q84" s="212"/>
      <c r="R84" s="212"/>
      <c r="S84" s="232"/>
      <c r="T84" s="58">
        <f>SUM(L84:S84)</f>
        <v>14999.995760000002</v>
      </c>
      <c r="U84" s="22">
        <f t="shared" si="35"/>
        <v>0.00398999999742955</v>
      </c>
    </row>
    <row r="85" spans="1:21" ht="36" customHeight="1">
      <c r="A85" s="142" t="s">
        <v>159</v>
      </c>
      <c r="B85" s="143" t="s">
        <v>160</v>
      </c>
      <c r="C85" s="5">
        <f aca="true" t="shared" si="38" ref="C85:T85">C86</f>
        <v>0</v>
      </c>
      <c r="D85" s="5">
        <f t="shared" si="38"/>
        <v>15000</v>
      </c>
      <c r="E85" s="5">
        <f t="shared" si="38"/>
        <v>0</v>
      </c>
      <c r="F85" s="5">
        <f t="shared" si="38"/>
        <v>0</v>
      </c>
      <c r="G85" s="5">
        <f t="shared" si="38"/>
        <v>0</v>
      </c>
      <c r="H85" s="5">
        <f t="shared" si="38"/>
        <v>0</v>
      </c>
      <c r="I85" s="5">
        <f t="shared" si="38"/>
        <v>0</v>
      </c>
      <c r="J85" s="5">
        <f t="shared" si="38"/>
        <v>0</v>
      </c>
      <c r="K85" s="58">
        <f t="shared" si="38"/>
        <v>15000</v>
      </c>
      <c r="L85" s="162">
        <f t="shared" si="38"/>
        <v>0</v>
      </c>
      <c r="M85" s="22">
        <f t="shared" si="38"/>
        <v>14990.443829999998</v>
      </c>
      <c r="N85" s="162">
        <f t="shared" si="38"/>
        <v>0</v>
      </c>
      <c r="O85" s="22">
        <f t="shared" si="38"/>
        <v>0</v>
      </c>
      <c r="P85" s="162">
        <f t="shared" si="38"/>
        <v>0</v>
      </c>
      <c r="Q85" s="22">
        <f t="shared" si="38"/>
        <v>0</v>
      </c>
      <c r="R85" s="162">
        <f t="shared" si="38"/>
        <v>0</v>
      </c>
      <c r="S85" s="22">
        <f t="shared" si="38"/>
        <v>0</v>
      </c>
      <c r="T85" s="58">
        <f t="shared" si="38"/>
        <v>14990.443829999998</v>
      </c>
      <c r="U85" s="22">
        <f t="shared" si="35"/>
        <v>9.556170000001657</v>
      </c>
    </row>
    <row r="86" spans="1:21" ht="57" customHeight="1">
      <c r="A86" s="171" t="s">
        <v>161</v>
      </c>
      <c r="B86" s="172" t="s">
        <v>162</v>
      </c>
      <c r="C86" s="173"/>
      <c r="D86" s="174">
        <v>15000</v>
      </c>
      <c r="E86" s="173"/>
      <c r="F86" s="173"/>
      <c r="G86" s="173"/>
      <c r="H86" s="173"/>
      <c r="I86" s="173"/>
      <c r="J86" s="213"/>
      <c r="K86" s="61">
        <f>SUM(C86:J86)</f>
        <v>15000</v>
      </c>
      <c r="L86" s="214"/>
      <c r="M86" s="215">
        <f>2194.6484+8328.66333+2979.69724+1255.13886+232.296</f>
        <v>14990.443829999998</v>
      </c>
      <c r="N86" s="214"/>
      <c r="O86" s="214"/>
      <c r="P86" s="214"/>
      <c r="Q86" s="214"/>
      <c r="R86" s="214"/>
      <c r="S86" s="233"/>
      <c r="T86" s="61">
        <f>SUM(L86:S86)</f>
        <v>14990.443829999998</v>
      </c>
      <c r="U86" s="234">
        <f t="shared" si="35"/>
        <v>9.556170000001657</v>
      </c>
    </row>
    <row r="87" spans="1:21" ht="55.5" customHeight="1">
      <c r="A87" s="142" t="s">
        <v>163</v>
      </c>
      <c r="B87" s="143" t="s">
        <v>164</v>
      </c>
      <c r="C87" s="5">
        <f aca="true" t="shared" si="39" ref="C87:T87">C88+C89+C90</f>
        <v>2765</v>
      </c>
      <c r="D87" s="5">
        <f t="shared" si="39"/>
        <v>735</v>
      </c>
      <c r="E87" s="5">
        <f t="shared" si="39"/>
        <v>1406.19704</v>
      </c>
      <c r="F87" s="5">
        <f t="shared" si="39"/>
        <v>0</v>
      </c>
      <c r="G87" s="5">
        <f t="shared" si="39"/>
        <v>0</v>
      </c>
      <c r="H87" s="5">
        <f t="shared" si="39"/>
        <v>0</v>
      </c>
      <c r="I87" s="5">
        <f t="shared" si="39"/>
        <v>0</v>
      </c>
      <c r="J87" s="5">
        <f t="shared" si="39"/>
        <v>0</v>
      </c>
      <c r="K87" s="58">
        <f t="shared" si="39"/>
        <v>4906.19704</v>
      </c>
      <c r="L87" s="162">
        <f t="shared" si="39"/>
        <v>2588.4</v>
      </c>
      <c r="M87" s="22">
        <f t="shared" si="39"/>
        <v>688.0557</v>
      </c>
      <c r="N87" s="162">
        <f t="shared" si="39"/>
        <v>1406.19704</v>
      </c>
      <c r="O87" s="22">
        <f t="shared" si="39"/>
        <v>0</v>
      </c>
      <c r="P87" s="162">
        <f t="shared" si="39"/>
        <v>0</v>
      </c>
      <c r="Q87" s="22">
        <f t="shared" si="39"/>
        <v>0</v>
      </c>
      <c r="R87" s="22">
        <f t="shared" si="39"/>
        <v>0</v>
      </c>
      <c r="S87" s="162">
        <f t="shared" si="39"/>
        <v>0</v>
      </c>
      <c r="T87" s="58">
        <f t="shared" si="39"/>
        <v>4682.6527399999995</v>
      </c>
      <c r="U87" s="22">
        <f t="shared" si="35"/>
        <v>223.54430000000048</v>
      </c>
    </row>
    <row r="88" spans="1:21" ht="54" customHeight="1">
      <c r="A88" s="163" t="s">
        <v>165</v>
      </c>
      <c r="B88" s="159" t="s">
        <v>166</v>
      </c>
      <c r="C88" s="13">
        <v>553</v>
      </c>
      <c r="D88" s="165">
        <v>147</v>
      </c>
      <c r="E88" s="165">
        <f>300-95.95288</f>
        <v>204.04712</v>
      </c>
      <c r="F88" s="13"/>
      <c r="G88" s="13"/>
      <c r="H88" s="13"/>
      <c r="I88" s="13"/>
      <c r="J88" s="190"/>
      <c r="K88" s="61">
        <f>SUM(C88:J88)</f>
        <v>904.04712</v>
      </c>
      <c r="L88" s="191">
        <v>376.4</v>
      </c>
      <c r="M88" s="191">
        <v>100.0557</v>
      </c>
      <c r="N88" s="191">
        <v>204.04712</v>
      </c>
      <c r="O88" s="191"/>
      <c r="P88" s="191"/>
      <c r="Q88" s="191"/>
      <c r="R88" s="191"/>
      <c r="S88" s="228"/>
      <c r="T88" s="61">
        <f>SUM(L88:S88)</f>
        <v>680.5028199999999</v>
      </c>
      <c r="U88" s="231">
        <f t="shared" si="35"/>
        <v>223.54430000000002</v>
      </c>
    </row>
    <row r="89" spans="1:21" ht="42.75" customHeight="1">
      <c r="A89" s="166" t="s">
        <v>167</v>
      </c>
      <c r="B89" s="35" t="s">
        <v>168</v>
      </c>
      <c r="C89" s="16">
        <v>1580</v>
      </c>
      <c r="D89" s="18">
        <v>420</v>
      </c>
      <c r="E89" s="18">
        <f>857.15-0.00008</f>
        <v>857.14992</v>
      </c>
      <c r="F89" s="16"/>
      <c r="G89" s="16"/>
      <c r="H89" s="16"/>
      <c r="I89" s="16"/>
      <c r="J89" s="95"/>
      <c r="K89" s="64">
        <f>SUM(C89:J89)</f>
        <v>2857.14992</v>
      </c>
      <c r="L89" s="86">
        <v>1580</v>
      </c>
      <c r="M89" s="86">
        <v>420</v>
      </c>
      <c r="N89" s="86">
        <v>857.14992</v>
      </c>
      <c r="O89" s="86"/>
      <c r="P89" s="86"/>
      <c r="Q89" s="86"/>
      <c r="R89" s="86"/>
      <c r="S89" s="235"/>
      <c r="T89" s="64">
        <f>SUM(L89:S89)</f>
        <v>2857.14992</v>
      </c>
      <c r="U89" s="236">
        <f t="shared" si="35"/>
        <v>0</v>
      </c>
    </row>
    <row r="90" spans="1:21" ht="42" customHeight="1">
      <c r="A90" s="166" t="s">
        <v>169</v>
      </c>
      <c r="B90" s="35" t="s">
        <v>170</v>
      </c>
      <c r="C90" s="16">
        <v>632</v>
      </c>
      <c r="D90" s="18">
        <v>168</v>
      </c>
      <c r="E90" s="16">
        <v>345</v>
      </c>
      <c r="F90" s="16"/>
      <c r="G90" s="16"/>
      <c r="H90" s="16"/>
      <c r="I90" s="16"/>
      <c r="J90" s="95"/>
      <c r="K90" s="64">
        <f>SUM(C90:J90)</f>
        <v>1145</v>
      </c>
      <c r="L90" s="86">
        <v>632</v>
      </c>
      <c r="M90" s="86">
        <v>168</v>
      </c>
      <c r="N90" s="86">
        <v>345</v>
      </c>
      <c r="O90" s="86"/>
      <c r="P90" s="86"/>
      <c r="Q90" s="86"/>
      <c r="R90" s="86"/>
      <c r="S90" s="235"/>
      <c r="T90" s="64">
        <f>SUM(L90:S90)</f>
        <v>1145</v>
      </c>
      <c r="U90" s="236">
        <f t="shared" si="35"/>
        <v>0</v>
      </c>
    </row>
    <row r="91" spans="1:21" ht="21" customHeight="1">
      <c r="A91" s="175"/>
      <c r="B91" s="4" t="s">
        <v>171</v>
      </c>
      <c r="C91" s="5">
        <f aca="true" t="shared" si="40" ref="C91:J91">C15+C25+C27+C41+C64+C66+C70+C77+C79+C81+C87+C83+C85</f>
        <v>60037.676940000005</v>
      </c>
      <c r="D91" s="5">
        <f t="shared" si="40"/>
        <v>214964.12305999998</v>
      </c>
      <c r="E91" s="5">
        <f t="shared" si="40"/>
        <v>48622.21555</v>
      </c>
      <c r="F91" s="5">
        <f t="shared" si="40"/>
        <v>0</v>
      </c>
      <c r="G91" s="5">
        <f t="shared" si="40"/>
        <v>0</v>
      </c>
      <c r="H91" s="5">
        <f t="shared" si="40"/>
        <v>0</v>
      </c>
      <c r="I91" s="5">
        <f t="shared" si="40"/>
        <v>0</v>
      </c>
      <c r="J91" s="5">
        <f t="shared" si="40"/>
        <v>24635</v>
      </c>
      <c r="K91" s="58">
        <f>SUM(C91:J91)</f>
        <v>348259.01555</v>
      </c>
      <c r="L91" s="82">
        <f aca="true" t="shared" si="41" ref="L91:S91">L15+L25+L27+L41+L64+L66+L70+L77+L79+L81+L87+L83+L85</f>
        <v>59861.07693</v>
      </c>
      <c r="M91" s="82">
        <f t="shared" si="41"/>
        <v>214106.23702000003</v>
      </c>
      <c r="N91" s="82">
        <f t="shared" si="41"/>
        <v>48622.21546000001</v>
      </c>
      <c r="O91" s="82">
        <f t="shared" si="41"/>
        <v>0</v>
      </c>
      <c r="P91" s="82">
        <f t="shared" si="41"/>
        <v>0</v>
      </c>
      <c r="Q91" s="82">
        <f t="shared" si="41"/>
        <v>0</v>
      </c>
      <c r="R91" s="82">
        <f t="shared" si="41"/>
        <v>0</v>
      </c>
      <c r="S91" s="82">
        <f t="shared" si="41"/>
        <v>17888.52709</v>
      </c>
      <c r="T91" s="58">
        <f>SUM(L91:S91)</f>
        <v>340478.05650000006</v>
      </c>
      <c r="U91" s="22">
        <f t="shared" si="35"/>
        <v>7780.959049999947</v>
      </c>
    </row>
    <row r="94" spans="2:9" ht="15.75">
      <c r="B94" s="176" t="s">
        <v>172</v>
      </c>
      <c r="C94" s="177"/>
      <c r="D94" s="177"/>
      <c r="E94" s="177"/>
      <c r="F94" s="178"/>
      <c r="G94" s="178"/>
      <c r="H94" s="178"/>
      <c r="I94" s="178"/>
    </row>
    <row r="95" spans="2:12" ht="15.75">
      <c r="B95" s="179" t="s">
        <v>173</v>
      </c>
      <c r="C95" s="179"/>
      <c r="D95" s="179"/>
      <c r="E95" s="177"/>
      <c r="F95" s="178"/>
      <c r="G95" s="178"/>
      <c r="J95" s="240" t="s">
        <v>174</v>
      </c>
      <c r="K95" s="240"/>
      <c r="L95" s="240"/>
    </row>
    <row r="96" spans="2:9" ht="15.75">
      <c r="B96" s="241" t="s">
        <v>175</v>
      </c>
      <c r="C96" s="241"/>
      <c r="D96" s="241"/>
      <c r="E96" s="241"/>
      <c r="F96" s="178"/>
      <c r="G96" s="178"/>
      <c r="H96" s="180"/>
      <c r="I96" s="216"/>
    </row>
    <row r="97" spans="2:8" ht="15.75">
      <c r="B97" s="181"/>
      <c r="C97" s="177"/>
      <c r="D97" s="177"/>
      <c r="E97" s="177"/>
      <c r="F97" s="178"/>
      <c r="G97" s="178"/>
      <c r="H97" s="180"/>
    </row>
    <row r="98" spans="2:8" ht="15.75">
      <c r="B98" s="181"/>
      <c r="C98" s="177"/>
      <c r="D98" s="177"/>
      <c r="E98" s="177"/>
      <c r="F98" s="178"/>
      <c r="G98" s="178"/>
      <c r="H98" s="180"/>
    </row>
    <row r="99" spans="2:9" ht="15.75">
      <c r="B99" s="176" t="s">
        <v>176</v>
      </c>
      <c r="C99" s="177"/>
      <c r="D99" s="177"/>
      <c r="E99" s="177"/>
      <c r="F99" s="182"/>
      <c r="G99" s="183"/>
      <c r="H99" s="183"/>
      <c r="I99" s="182"/>
    </row>
    <row r="100" spans="2:12" ht="15.75">
      <c r="B100" s="242" t="s">
        <v>177</v>
      </c>
      <c r="C100" s="242"/>
      <c r="D100" s="242"/>
      <c r="E100" s="242"/>
      <c r="F100" s="182"/>
      <c r="G100" s="183"/>
      <c r="J100" s="240" t="s">
        <v>178</v>
      </c>
      <c r="K100" s="240"/>
      <c r="L100" s="240"/>
    </row>
  </sheetData>
  <sheetProtection/>
  <mergeCells count="29">
    <mergeCell ref="R1:U6"/>
    <mergeCell ref="R7:U8"/>
    <mergeCell ref="P13:P14"/>
    <mergeCell ref="Q13:Q14"/>
    <mergeCell ref="R13:R14"/>
    <mergeCell ref="S13:S14"/>
    <mergeCell ref="B100:E100"/>
    <mergeCell ref="J100:L100"/>
    <mergeCell ref="A12:A14"/>
    <mergeCell ref="B12:B14"/>
    <mergeCell ref="C13:C14"/>
    <mergeCell ref="D13:D14"/>
    <mergeCell ref="G13:G14"/>
    <mergeCell ref="H13:H14"/>
    <mergeCell ref="I13:I14"/>
    <mergeCell ref="J13:J14"/>
    <mergeCell ref="E13:F13"/>
    <mergeCell ref="N13:O13"/>
    <mergeCell ref="J95:L95"/>
    <mergeCell ref="B96:E96"/>
    <mergeCell ref="K12:K14"/>
    <mergeCell ref="L13:L14"/>
    <mergeCell ref="M13:M14"/>
    <mergeCell ref="A9:U9"/>
    <mergeCell ref="A10:U10"/>
    <mergeCell ref="C12:J12"/>
    <mergeCell ref="L12:S12"/>
    <mergeCell ref="T12:T14"/>
    <mergeCell ref="U12:U14"/>
  </mergeCells>
  <printOptions/>
  <pageMargins left="0.08" right="0.04" top="0.2" bottom="0.2" header="0.16" footer="0.12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Users</cp:lastModifiedBy>
  <cp:lastPrinted>2019-09-24T05:42:32Z</cp:lastPrinted>
  <dcterms:created xsi:type="dcterms:W3CDTF">2011-01-18T12:06:27Z</dcterms:created>
  <dcterms:modified xsi:type="dcterms:W3CDTF">2021-01-29T13:19:12Z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