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85" activeTab="0"/>
  </bookViews>
  <sheets>
    <sheet name="на август" sheetId="1" r:id="rId1"/>
  </sheets>
  <definedNames>
    <definedName name="_xlnm.Print_Titles" localSheetId="0">'на август'!$9:$10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<sst xmlns="http://schemas.openxmlformats.org/spreadsheetml/2006/main" count="238" uniqueCount="231">
  <si>
    <r>
      <t xml:space="preserve">Капитальный ремонт помещений 2-го этажа, расположенного в с.Принцевка ул.Центральная д.52 Валуйского городского округа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(0801 0810672120/08106S2120 243 225/2250503                                         Доп.ФК 15.04.67)</t>
    </r>
  </si>
  <si>
    <t>3.3.</t>
  </si>
  <si>
    <t>Капитальный ремонт объектов физической культуры и спорта</t>
  </si>
  <si>
    <t>3.3.1.</t>
  </si>
  <si>
    <r>
      <t xml:space="preserve">Капитальный ремонт здания  МБУ "Валуйский ФОК"  г.Валуйки  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15.04.42) </t>
    </r>
  </si>
  <si>
    <t>3.3.2.</t>
  </si>
  <si>
    <r>
      <t xml:space="preserve">Капитальный ремонт многофункциональной спортивной площадки в с.Шелаево Валуйского городского округа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15.04.60) </t>
    </r>
  </si>
  <si>
    <t>4.</t>
  </si>
  <si>
    <t>Разработка ПСД, ПИР, проведение экспертиз</t>
  </si>
  <si>
    <t>4.1.</t>
  </si>
  <si>
    <r>
      <t xml:space="preserve">Разработка и прохождение экспертизы ПСД по объектам наружного освещения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0220221340 244 226/2260411 Доп.ФК 05.03.20)</t>
    </r>
  </si>
  <si>
    <t>4.2.</t>
  </si>
  <si>
    <r>
      <t xml:space="preserve">Разработка и прохождение экспертизы ПСД по ремонту шахтных колодцев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0220721440 244 226/2260411   Доп.ФК 05.03.20)</t>
    </r>
  </si>
  <si>
    <t>4.3.</t>
  </si>
  <si>
    <r>
      <t xml:space="preserve">Разработка проекта внесения изменений в генеральный план Валуйского городского округа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(0412 9990060460 244 226/2260106   Доп.ФК 04.08.06)</t>
    </r>
  </si>
  <si>
    <t>4.4.</t>
  </si>
  <si>
    <r>
      <t xml:space="preserve">Разработка проекта внесения изменений в ПЗЗ Валуйского городского округа     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                                            (0412 9990060460 244 226/2260106   Доп.ФК 04.08.06)</t>
    </r>
  </si>
  <si>
    <t>4.5.</t>
  </si>
  <si>
    <r>
      <t xml:space="preserve">Разработка и прохождение экспертизы ПСД по объектам в рамках  реализации программы "Формирование современной городской среды"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(0503 1310125550 244 226/2260411 Доп.ФК 05.03.20)</t>
    </r>
  </si>
  <si>
    <t>4.6.</t>
  </si>
  <si>
    <r>
      <t xml:space="preserve">Разработка и прохождение экспертизы ПСД по объекту "  Капитальный ремонт МОУ "СОШ №1" г.Валуйки, Белгородской области"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15.04.31)</t>
    </r>
  </si>
  <si>
    <t>4.7.</t>
  </si>
  <si>
    <r>
      <t xml:space="preserve">Разработка и прохождение экспертизы ПСД по объекту "Капитальный ремонт МОУ "Уразовская СОШ №2" пгт. Уразово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15.04.32)</t>
    </r>
  </si>
  <si>
    <t>4.8.</t>
  </si>
  <si>
    <r>
      <t xml:space="preserve">Разработка и прохождение экспертизы ПСД по объекту "Ремонт кровель Домов Культуры на территории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(0801 0830522110 243 226/2260411 Доп.ФК 08.01.03)</t>
    </r>
  </si>
  <si>
    <t>4.9.</t>
  </si>
  <si>
    <r>
      <t xml:space="preserve">Разработка и прохождение экспертизы ПСД по объекту "Ремонт игровой хоккейной площадки в с.Шелаево Валуйского городского округа Белгородской области"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(0503 0230122220 244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226/2260411 Доп.ФК 05.03.20)</t>
    </r>
  </si>
  <si>
    <t>4.10.</t>
  </si>
  <si>
    <r>
      <t xml:space="preserve">Разработка и прохождение экспертизы ПСД по объекту "Ремонт моста через реку Оскол в селе Лавы Валуйского городского округа Белгородской области"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(0503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0230122220 244 226/2260411 Доп.ФК 05.03.20)</t>
    </r>
  </si>
  <si>
    <t>4.11.</t>
  </si>
  <si>
    <r>
      <t xml:space="preserve">Разработка рабочей документации по объекту "Ремонт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3 человека, установлены имена 3 человек. Скульптура советского воина" в с.Хмелевец Валуйского района Белгородской области"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(Тимоновская т/а)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(0804 0840622990 244 226/2260411 Доп.ФК 08.00.00)</t>
    </r>
  </si>
  <si>
    <t>4.12.</t>
  </si>
  <si>
    <r>
      <t xml:space="preserve">Разработка и прохождение экспертизы ПСД по объекту "Капитальный ремонт помещений 2-го этажа, расположенного в с.Принцевка ул.Центральная д.52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</t>
    </r>
    <r>
      <rPr>
        <i/>
        <sz val="10"/>
        <rFont val="Times New Roman"/>
        <family val="1"/>
      </rPr>
      <t>дм. Вал.гор.округа)                                                                                                                                  (0412 9990022110 244 226/2260411 Доп.ФК 04.00.00)</t>
    </r>
  </si>
  <si>
    <t>4.13.</t>
  </si>
  <si>
    <r>
      <t xml:space="preserve">Разработка дизайн-проекта фасадов здания, эскизного дизайн-проекта интерьеров части помещений , проекта благоустройства территории объекта "Капитальный ремонт "МДОУ детский сад комбинированного вида №3" г.Валуйки, ул.М.Горького,д.96"                                                                                </t>
    </r>
    <r>
      <rPr>
        <i/>
        <sz val="10"/>
        <color indexed="8"/>
        <rFont val="Times New Roman"/>
        <family val="1"/>
      </rPr>
      <t>(А</t>
    </r>
    <r>
      <rPr>
        <i/>
        <sz val="10"/>
        <rFont val="Times New Roman"/>
        <family val="1"/>
      </rPr>
      <t>дм. Вал.гор.округа)                                                                                                                                  (0701 0710422110 244 226/2260411 Доп.ФК 15.04.30)</t>
    </r>
  </si>
  <si>
    <t>4.14.</t>
  </si>
  <si>
    <r>
      <t xml:space="preserve">Проверка достоверности определения сметной стоимости и расчета индекса удорожания СМР по объекту: "Текущий ремонт шахтных колодцев (101 штука) на территрии Валуйского городского округа Белгородской области"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0220721440 244 226/2260411  Доп.ФК 05.03.20)</t>
    </r>
  </si>
  <si>
    <t>4.15.</t>
  </si>
  <si>
    <r>
      <t xml:space="preserve">Проверка достоверности определения сметной стоимости строительно-монтажных работ и  расчета индекса удорожания сметной стоимости строительно-монтажных работ к базисным ценам по объекту: «Капитальный ремонт МОУ «Принцевская СОШ» Валуйского района Белгородской области»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(0702 0720722110 243 226/2260411 Доп.ФК 07.01.02)</t>
    </r>
  </si>
  <si>
    <t>4.16.</t>
  </si>
  <si>
    <r>
      <t xml:space="preserve">Корректировка проекта "Благоустройство общественой территории дендрологического парка и набережной в городе Валуйки по улице Степана Разина"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(0503 0230122220 244 226/2260411 Доп.ФК 05.03.20)</t>
    </r>
  </si>
  <si>
    <t>4.17.</t>
  </si>
  <si>
    <r>
      <t xml:space="preserve">Разработка дизайн-проекта фасадов здания, эскизного дизайн-проекта интерьеров части помещений и концепцию благоустройства по объекту "Капитальный ремонт МОУ "Уразовская СОШ №2" пгт. Уразово Валуйского городского округа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</t>
    </r>
    <r>
      <rPr>
        <i/>
        <sz val="10"/>
        <rFont val="Times New Roman"/>
        <family val="1"/>
      </rPr>
      <t>дм. Вал.гор.округа)                                                                                                                                  (0701 0720722110 244 226/2260411 Доп.ФК 15.04.32)</t>
    </r>
  </si>
  <si>
    <t>4.18.</t>
  </si>
  <si>
    <r>
      <t xml:space="preserve">Подготовка заявки для участия во Всероссийском конкурсе лучших проектов создания комфортной городской среды в малых городах и исторических поселениях                                                                                </t>
    </r>
    <r>
      <rPr>
        <i/>
        <sz val="10"/>
        <rFont val="Times New Roman"/>
        <family val="1"/>
      </rPr>
      <t xml:space="preserve">          (Адм. Вал.гор.округа)                                                                                                                                  (0503 1310125550 244 226/2260411 Доп.ФК 05.03.20)</t>
    </r>
  </si>
  <si>
    <t>4.19.</t>
  </si>
  <si>
    <r>
      <t xml:space="preserve">Проведение проверки достоверности определения сметной стоимости  по объектам:  "Устройство сетей наружного освещения на территории Валуйского городского округа"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0220221340 244 226/2260411 Доп.ФК 05.00.00)</t>
    </r>
  </si>
  <si>
    <t>4.20.</t>
  </si>
  <si>
    <r>
      <t xml:space="preserve">Разработка и прохождение экспертизы ПСД по объекту "Ремонт кровли МОУ "Казначеевская СОШ ", расположенной на территории Валуйского городского округа"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244 226/2260411 Доп.ФК 07.01.02)</t>
    </r>
  </si>
  <si>
    <t>4.21.</t>
  </si>
  <si>
    <r>
      <t xml:space="preserve">Разработка и прохождение экспертизы ПСД по объекту "Устройство пешеходного перехода через яр в с.Бирюч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</si>
  <si>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4.22.</t>
  </si>
  <si>
    <r>
      <t xml:space="preserve">Разработка и прохождение экспертизы ПСД по объекту "Обустройство детской площадки в с.Колосково Валуйского городского округа"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</t>
    </r>
    <r>
      <rPr>
        <i/>
        <sz val="10"/>
        <rFont val="Times New Roman"/>
        <family val="1"/>
      </rPr>
      <t>(0503 0230122220 244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226/2260411 Доп.ФК 05.03.20)</t>
    </r>
  </si>
  <si>
    <t>4.23.</t>
  </si>
  <si>
    <r>
      <t xml:space="preserve">Проведение проверки достоверности определения сметной стоимости  по объекту:  "Ремонт крыши библиотеки (Филиал ДШИ) в микрорайоне Соцгород, расположенной по адресу ул.Курячего,22 в г.Валуйки"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(0703 0730122110 244 226/2260411 Доп.ФК 07.01.05)</t>
    </r>
  </si>
  <si>
    <t>4.24.</t>
  </si>
  <si>
    <r>
      <t xml:space="preserve">Проведение проверки достоверности определения сметной стоимости  по объекту:  "Устройство ограждения вокруг школьного стадиона в с.Бутырки"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0720222130 244 226/2260411 Доп.ФК 07.01.02)</t>
    </r>
  </si>
  <si>
    <t>4.25.</t>
  </si>
  <si>
    <r>
      <t xml:space="preserve">Проведение проверки достоверности определения сметной стоимости  по объекту:  "Устройство ограждения вокруг Д/С в с.Новопетровка"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(0701 0710122130 244 226/2260411 Доп.ФК 07.01.01)</t>
    </r>
  </si>
  <si>
    <t>4.26.</t>
  </si>
  <si>
    <r>
      <t xml:space="preserve">Проведение проверки достоверности определения сметной стоимости  по объекту:  "Устройство модуля пожарной части на территории Тимоновской территориальной администрации"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(0310 0410220380 244 226/2260411 Доп.ФК 03.00.00)</t>
    </r>
  </si>
  <si>
    <t>4.27.</t>
  </si>
  <si>
    <r>
      <t xml:space="preserve">Проведение проверки достоверности определения сметной стоимости  по объекту:  "Капитальный ремонт многофункциональной спортивной площадки в с.Шелаево Валуйского городского округа"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(1105 1010122110 243 226/2260411 Доп.ФК 15.04.60)</t>
    </r>
  </si>
  <si>
    <t>4.28.</t>
  </si>
  <si>
    <r>
      <t xml:space="preserve">Проектные работы по объекту:  "Строительство административно-бытового корпуса в г.Валуйки по ул.Соколова,1/4"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(0113 9990021120 244 226/2260404 Доп.ФК 01.00.00)</t>
    </r>
  </si>
  <si>
    <t>4.29.</t>
  </si>
  <si>
    <r>
      <t xml:space="preserve">Работы по проектированию:  "Архитектурно-художественная концепция ул.1 Мая от ул.Октябрьская до ул.Тимирязева в г.Валуйки"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</si>
  <si>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4.30.</t>
  </si>
  <si>
    <r>
      <t xml:space="preserve">Проведение проверки достоверности определения сметной стоимости  по объекту:  "Капитальный ремонт спортивного зала МОУ "Селивановская ООШ" Валуйского района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07.01.02)</t>
    </r>
  </si>
  <si>
    <t>4.31.</t>
  </si>
  <si>
    <r>
      <t xml:space="preserve">Проведение проверки достоверности определения сметной стоимости  по объекту:  "Капитальный ремонт спортивного зала МОУ "Новопетровская СОШ" Валуйского района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07.01.02)</t>
    </r>
  </si>
  <si>
    <t>4.32.</t>
  </si>
  <si>
    <r>
      <t xml:space="preserve">Проведение проверки достоверности определения сметной стоимости  по объекту:  "Капитальный ремонт спортивного зала МОУ "Подгоренская ООШ" Валуйского района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07.01.02)</t>
    </r>
  </si>
  <si>
    <t>4.33.</t>
  </si>
  <si>
    <r>
      <t xml:space="preserve">Проведение проверки достоверности определения сметной стоимости  по объекту:  "Ремонт дворовой территории  по ул. Тимирязева, д.109 г.Валуйки Белгородской области"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0230122220 244 226/2260411 Доп.ФК 05.03.20)</t>
    </r>
  </si>
  <si>
    <t>4.34.</t>
  </si>
  <si>
    <r>
      <t xml:space="preserve">Разработка и прохождение экспертизы ПСД по объекту "Реконструкция МОУ "СОШ №3" г. Валуйки (основное здание) с пристройкой мастерских"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(0702 0720722110 243 226/2260411 Доп.ФК 15.04.61)</t>
    </r>
  </si>
  <si>
    <t>5.</t>
  </si>
  <si>
    <t>Обеспечение жильем молодых семей в рамках государственной программы "Обеспечение доступным и комфортным жильем и коммунальными услугами граждан Российской Федерации"</t>
  </si>
  <si>
    <t>5.1.</t>
  </si>
  <si>
    <r>
      <t xml:space="preserve">Обеспечение жильем молодых семей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(1004 02106L4970 322 262/2620110   Доп.ФК 10.01.01)</t>
    </r>
  </si>
  <si>
    <t>6.</t>
  </si>
  <si>
    <t>Обеспечение развития и укрепления материально-технической базы</t>
  </si>
  <si>
    <t>6.1.</t>
  </si>
  <si>
    <t xml:space="preserve">Обеспечение развития и укрепления материально-технической базы объектов культуры </t>
  </si>
  <si>
    <t>6.1.1.</t>
  </si>
  <si>
    <r>
      <t xml:space="preserve">Обеспечение развития и укрепления материально-технической базы домов культуры в населенных пунктах с числом жителей  до 50 тысяч человек                     </t>
    </r>
    <r>
      <rPr>
        <i/>
        <sz val="10"/>
        <color indexed="8"/>
        <rFont val="Times New Roman"/>
        <family val="1"/>
      </rPr>
      <t xml:space="preserve">                                                (МУК "ЦКР")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             (0801 08301L4670 612 241/3100304  Доп.ФК 08.01.00)</t>
    </r>
  </si>
  <si>
    <t>6.2.</t>
  </si>
  <si>
    <t>Обеспечение развития и укрепления материально-технической базы объектов образования</t>
  </si>
  <si>
    <t>6.2.1</t>
  </si>
  <si>
    <r>
      <t xml:space="preserve">Обеспечение развития и укрепления материально-технической базы  МДОУ "ЦРР-ДС №2" г.Валуйки   Белгородской области                   </t>
    </r>
    <r>
      <rPr>
        <i/>
        <sz val="10"/>
        <color indexed="8"/>
        <rFont val="Times New Roman"/>
        <family val="1"/>
      </rPr>
      <t xml:space="preserve">                                                (МДОУ "ЦРР-ДС №2")                                                                        (0701 0710100590 611/612 241/3100304,241/3450000,241/346000  Доп.ФК 07.01.01/07.01.11)</t>
    </r>
  </si>
  <si>
    <t>6.2.2</t>
  </si>
  <si>
    <r>
      <t>Обеспечение развития и укрепления материально-технической базы  МДОУ "ЦРР-ДС</t>
    </r>
    <r>
      <rPr>
        <sz val="10"/>
        <color indexed="8"/>
        <rFont val="Times New Roman"/>
        <family val="1"/>
      </rPr>
      <t xml:space="preserve"> №2" г.Валуйки   Белгородской области                   </t>
    </r>
    <r>
      <rPr>
        <i/>
        <sz val="10"/>
        <color indexed="8"/>
        <rFont val="Times New Roman"/>
        <family val="1"/>
      </rPr>
      <t xml:space="preserve">                                                (МДОУ "ЦРР-ДС №2")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(0701 0710120550 612 241/3100304   Доп.ФК 07.01.11)</t>
    </r>
  </si>
  <si>
    <t>7.</t>
  </si>
  <si>
    <t>Создание эффективных механизмов в области обращения с твердыми коммунальными отходами</t>
  </si>
  <si>
    <t>7.1.</t>
  </si>
  <si>
    <r>
      <t xml:space="preserve">Разработка ПСД и выполнение инженерных изысканий на объекте: «Строительство объекта размещения твердых коммунальных отходов расположенного на северо-западной окраине     г. Валуйки                           </t>
    </r>
    <r>
      <rPr>
        <i/>
        <sz val="10"/>
        <rFont val="Times New Roman"/>
        <family val="1"/>
      </rPr>
      <t xml:space="preserve">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                                                                             (0605 0230171430/02301S1430 244 226/2260411   Доп.ФК 06.00.00)</t>
    </r>
  </si>
  <si>
    <t>7.2.</t>
  </si>
  <si>
    <r>
      <t xml:space="preserve">Строительство объекта размещения твёрдых коммунальных отходов  расположенного на северо-западной окраине г.Валуйки"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 гор. округа)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(0605 0230171430 244 310/3100400   Доп.ФК 06.00.00)</t>
    </r>
  </si>
  <si>
    <t>7.3.</t>
  </si>
  <si>
    <r>
      <t xml:space="preserve">Приобретение колес на контейнеры ТКО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(МБУ "Валуйское благоустройство")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(0605 0230121430 6114 241/3460000   Доп.ФК 06.00.00)</t>
    </r>
  </si>
  <si>
    <t>7.4.</t>
  </si>
  <si>
    <r>
      <t xml:space="preserve">Приобретение колес на контейнеры ТКО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(МБУ "Уразовское благоустройство")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(0605 0230121430 6114 241/3460000   Доп.ФК 06.00.00)</t>
    </r>
  </si>
  <si>
    <t>8.</t>
  </si>
  <si>
    <t>Благоустройство территории</t>
  </si>
  <si>
    <t>8.1.</t>
  </si>
  <si>
    <r>
      <t xml:space="preserve">Благоустройство ул.Пролетарская г.Валуйки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(0503 0230122220 244 226/2260200   Доп.ФК 05.03.20)</t>
    </r>
  </si>
  <si>
    <t>9.</t>
  </si>
  <si>
    <t>Текущий ремонт зданий и сооружений</t>
  </si>
  <si>
    <t>9.1.</t>
  </si>
  <si>
    <t>Образование</t>
  </si>
  <si>
    <t>9.1.2.</t>
  </si>
  <si>
    <r>
      <t xml:space="preserve">Замена окон в помещениях на станции юных натуралистов в п.Уразово Валуйского городского округа Белгородской области                                                                                                           </t>
    </r>
    <r>
      <rPr>
        <i/>
        <sz val="10"/>
        <rFont val="Times New Roman"/>
        <family val="1"/>
      </rPr>
      <t>(МУДО "СЮН" Валуйского района)                                                                                              (0703 0730100590 612 241/2250502   Доп.ФК 07.01.04)</t>
    </r>
  </si>
  <si>
    <t>9.2.</t>
  </si>
  <si>
    <t>Культура</t>
  </si>
  <si>
    <t>9.2.1.</t>
  </si>
  <si>
    <r>
      <t xml:space="preserve"> Ремонт памятников воинской славы                                               (объектов культурного наследия)             Двулученской т/а                                                                                 </t>
    </r>
    <r>
      <rPr>
        <i/>
        <sz val="10"/>
        <rFont val="Times New Roman"/>
        <family val="1"/>
      </rPr>
      <t>(Двулученская т/а)                                                                                              (0804 0840622990 244 222/2220100, 225/2220502, 344/3440000, 346/3460000   Доп.ФК 05.03.14)</t>
    </r>
  </si>
  <si>
    <t>9.2.2.</t>
  </si>
  <si>
    <r>
      <t xml:space="preserve"> Ремонт памятников воинской славы                                               (объектов культурного наследия) Новопетровской т/а                                                                                 </t>
    </r>
    <r>
      <rPr>
        <i/>
        <sz val="10"/>
        <rFont val="Times New Roman"/>
        <family val="1"/>
      </rPr>
      <t>(Новопетровская т/а)                                                                                              (0804 0840622990 244 222/2220100, 225/2220502, 344/3440000 Доп.ФК 05.03.14)</t>
    </r>
  </si>
  <si>
    <t>9.3.</t>
  </si>
  <si>
    <t>Физическая культура и спорт</t>
  </si>
  <si>
    <t>9.3.1.</t>
  </si>
  <si>
    <r>
      <t xml:space="preserve">Востановление мачт освещения стадиона "Центральный" г.Валуйки ул.М.Горького,45 Б                                                                                  </t>
    </r>
    <r>
      <rPr>
        <i/>
        <sz val="10"/>
        <rFont val="Times New Roman"/>
        <family val="1"/>
      </rPr>
      <t>(МБУ "Валуйский ФОК")                                                                                              (1101 1010100590 611 241/3460000, 241/2260411   Доп.ФК 11.01.02)</t>
    </r>
  </si>
  <si>
    <t>9.4.</t>
  </si>
  <si>
    <t>Прочие объекты социальной сферы</t>
  </si>
  <si>
    <t>9.4.1.</t>
  </si>
  <si>
    <r>
      <t xml:space="preserve">Ремонт жилых помещений, находящихся в муниципальной собственности (г.Валуйки ул. Парковая, 42/1 кв.1, ул. Парковая, 42/1 кв.2, ул. Парковая, 42/1 кв.3)         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</si>
  <si>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9.4.2.</t>
  </si>
  <si>
    <r>
      <t xml:space="preserve">Ремонт жилого помещения                                                                           (г.Валуйки ул. Космонавтов,7 ком.39)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</si>
  <si>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9.4.3.</t>
  </si>
  <si>
    <r>
      <t xml:space="preserve">Ремонт жилого помещения                                                                          (г.Валуйки ул. Космонавтов,7 ком.45)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</si>
  <si>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9.4.4.</t>
  </si>
  <si>
    <r>
      <t xml:space="preserve">Ремонт жилого помещения                                                                            (г.Валуйки ул. Тимирязева,97 ком.30)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</si>
  <si>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9.4.5.</t>
  </si>
  <si>
    <r>
      <t xml:space="preserve">Ремонт жилого помещения                                                        (г.Валуйки ул. Степана Разина,2 ком.60)                                                                         </t>
    </r>
    <r>
      <rPr>
        <i/>
        <sz val="10"/>
        <rFont val="Times New Roman"/>
        <family val="1"/>
      </rPr>
      <t>(Адм. Вал. гор. округа)                                                                                              (0501 0211222120 244 225/2250502 Доп.ФК 05.01.00)</t>
    </r>
  </si>
  <si>
    <t>10.</t>
  </si>
  <si>
    <t>Ремонт шахтных колодцев</t>
  </si>
  <si>
    <t>10.1.</t>
  </si>
  <si>
    <r>
      <t xml:space="preserve">Текущий ремонт и благоустройство шахтных колодцев                     </t>
    </r>
    <r>
      <rPr>
        <i/>
        <sz val="10"/>
        <rFont val="Times New Roman"/>
        <family val="1"/>
      </rPr>
      <t xml:space="preserve">                                                          (Адм. Вал. гор. округа)                                                                                                                                                                                         (0503 0220721440 244 226/2260200 Доп.ФК 05.03.20)</t>
    </r>
  </si>
  <si>
    <t>11.</t>
  </si>
  <si>
    <t xml:space="preserve">Государственная программа Белгородской области "Развитие сельского хозяйства и рыбоводства в Белгородской области"   ("Комплексное развитие сельских территорий")  </t>
  </si>
  <si>
    <t>11.1.</t>
  </si>
  <si>
    <r>
      <t xml:space="preserve">Обустройство детской площадки в с.Колосково Валуйского городского округа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(0503 01601L5760 244 226/2260200                                                            Доп.ФК 15.04.68)</t>
    </r>
  </si>
  <si>
    <t>12.</t>
  </si>
  <si>
    <t>Другие вопросы в области здравоохранения</t>
  </si>
  <si>
    <t>12.1.</t>
  </si>
  <si>
    <r>
      <t xml:space="preserve">Реализация мероприятий по обеспечению жильем медицинских работников государственных учреждений здравоохранения Белгородской области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(0909 9990073790/99900S3790 412 310/3100400                                                            Доп.ФК 09.00.00)                </t>
    </r>
  </si>
  <si>
    <t>ИТОГО по всем программам: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</si>
  <si>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</si>
  <si>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</si>
  <si>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</si>
  <si>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>И.В. Кочетова</t>
  </si>
  <si>
    <t>Заместитель главы администрации Валуйского городского округа –</t>
  </si>
  <si>
    <t xml:space="preserve">начальник управления финансов и бюждетной политики </t>
  </si>
  <si>
    <t>Л.В. Мащенко</t>
  </si>
  <si>
    <t>Приложение к решению Совета депутатов Валуйского городского округа Белгородской области                                                                       от "___"_______________2021 г. №______</t>
  </si>
  <si>
    <t>Пообъектный перечень</t>
  </si>
  <si>
    <t>строительства, реконструкции и капитального ремонта объектов социальной сферы и развития жилищно-коммунальной инфраструктуры Валуйского городского округа на 2021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</si>
  <si>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</si>
  <si>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</si>
  <si>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</si>
  <si>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</si>
  <si>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Профинансировано (тыс.руб.)</t>
  </si>
  <si>
    <t>остаток средств</t>
  </si>
  <si>
    <t>Федеральный бюджет</t>
  </si>
  <si>
    <t>Областной бюджет</t>
  </si>
  <si>
    <t>Местный бюджет</t>
  </si>
  <si>
    <t>Средствава территории                         (инвесторы)</t>
  </si>
  <si>
    <t>Внебюджетные источ-ники</t>
  </si>
  <si>
    <t>за счет передвижения средств</t>
  </si>
  <si>
    <t>за счет средств дорожного фонда</t>
  </si>
  <si>
    <t>Средства территории                         (инвесторы)</t>
  </si>
  <si>
    <t>Внебюджетные источники</t>
  </si>
  <si>
    <t>за счет средств дорожного                 фонда</t>
  </si>
  <si>
    <t>утверждено бюджетом на 2021г.</t>
  </si>
  <si>
    <t>прочие доходы от оказания платных услуг</t>
  </si>
  <si>
    <t>утверждено бюджетом на 2021 г.</t>
  </si>
  <si>
    <t>1.</t>
  </si>
  <si>
    <t>Дорожное хозяйство (дорожные фонды)</t>
  </si>
  <si>
    <t>1.1.</t>
  </si>
  <si>
    <r>
      <t xml:space="preserve">Капитальный ремонт действующей сети Валуйского городского округа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244 225/2250200   Доп.ФК 04.13.00)                                                                      </t>
    </r>
  </si>
  <si>
    <t>1.2.</t>
  </si>
  <si>
    <r>
      <t xml:space="preserve">Разработка ПСД и выполнение инженерных изысканий по объекту: "Строительства моста через реку Оскол в с.Поминово Валуйского городского округа"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</si>
  <si>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1.3.</t>
  </si>
  <si>
    <r>
      <t xml:space="preserve">Устройство сетей наружного освещения по ул.М.Горького от 102/2 до д.134 в г.Валуйки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244 226/2260200 Доп.ФК 04.13.00)  </t>
    </r>
  </si>
  <si>
    <t>1.4.</t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</si>
  <si>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 Доп.ФК 04.13.00)  </t>
    </r>
  </si>
  <si>
    <t>1.5.</t>
  </si>
  <si>
    <r>
      <t xml:space="preserve">Ремонт улично-дорожной сети Валуйского городского округа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0310172140/03101S2140 244 225/2250200                        Доп.ФК 04.13.00)                                                                      </t>
    </r>
  </si>
  <si>
    <t>1.6.</t>
  </si>
  <si>
    <r>
      <t xml:space="preserve">Проверка достоверности определения сметной стоимости по объекту: "Ремонт тротуара по ул.Горького п.Уразово"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</si>
  <si>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1.7.</t>
  </si>
  <si>
    <r>
      <t xml:space="preserve">Разработка проекта и прохождение государственной экспертизы по объекту «Обустройство перекрестка на пересечении ул. Пролетарская и ул. Степана Разина в г.Валуйки  с установкой светофорного объекта»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</si>
  <si>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1.8.</t>
  </si>
  <si>
    <r>
      <t xml:space="preserve">Ремонт тротуаров на территории Валуйского городского округа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244 225/2250200   Доп.ФК 04.13.00)  </t>
    </r>
  </si>
  <si>
    <t>1.9.</t>
  </si>
  <si>
    <r>
      <t xml:space="preserve">Содержание автомобильных дорог общего пользования местного значения Валуйского городского округа                                                              </t>
    </r>
    <r>
      <rPr>
        <i/>
        <sz val="10"/>
        <rFont val="Times New Roman"/>
        <family val="1"/>
      </rPr>
      <t xml:space="preserve">(МБУ "Валуйское благоуст ройство")                                                                                                                                                    (0409 0310120580 611 241/3440000, 241/3460000                        Доп.ФК 04.13.00)   </t>
    </r>
    <r>
      <rPr>
        <sz val="10"/>
        <rFont val="Times New Roman"/>
        <family val="1"/>
      </rPr>
      <t xml:space="preserve">       </t>
    </r>
  </si>
  <si>
    <t>1.10.</t>
  </si>
  <si>
    <r>
      <t xml:space="preserve">Содержание автомобильных дорог общего пользования местного значения Валуйского городского округа                                                              </t>
    </r>
    <r>
      <rPr>
        <i/>
        <sz val="10"/>
        <rFont val="Times New Roman"/>
        <family val="1"/>
      </rPr>
      <t xml:space="preserve">(МБУ "Уразовское благоуст ройство")                                                                                                                                                    (0409 0310120580 611 241/3440000, 241/3460000                     Доп.ФК 04.13.00)     </t>
    </r>
    <r>
      <rPr>
        <sz val="10"/>
        <rFont val="Times New Roman"/>
        <family val="1"/>
      </rPr>
      <t xml:space="preserve">       </t>
    </r>
  </si>
  <si>
    <t>1.11.</t>
  </si>
  <si>
    <r>
      <t xml:space="preserve">Выполнение работ по ямочному ремонту в г.Валуйки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0310320570 244 225/2250200   Доп.ФК 04.13.00)  </t>
    </r>
  </si>
  <si>
    <t>1.12.</t>
  </si>
  <si>
    <r>
      <t xml:space="preserve">Приобретение дорожных знаков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(Бирючанская т/а, Герасимовская т/а, Двулученская т/а, Казинская т/а, Колосковская т/а, Кукуевская т/а, Мандровская т/а, Насоновская т/а, Новопетровская т/а, Принцевская т/а, Рождестсвенская т/а, Селивановская т/а, Солотянская т/а, Тимоновская т/а, Уразовская т/а, Шелаевская т/а, Яблоновская т/а)                                                                                                                                                      (0409 0310320570 244 310/3100304 Доп.ФК 04.13.01)  </t>
    </r>
  </si>
  <si>
    <r>
      <t xml:space="preserve">Грейдирование дорог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(Борчанская т/а, )                                                                                                                                                      (0409 0310320570 244 226/2260411 Доп.ФК 04.13.01)  </t>
    </r>
  </si>
  <si>
    <t>2.</t>
  </si>
  <si>
    <t>Обеспечение жильем детей сирот</t>
  </si>
  <si>
    <t>2.1.</t>
  </si>
  <si>
    <r>
      <t xml:space="preserve">Обеспечение жильем детей-сирот,                                                                                  детей, оставшихся без попечения родителей,                                                                                     и лиц из их числа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(1004 0210770820 412 310/3100400   Доп.ФК 10.00.00)       </t>
    </r>
    <r>
      <rPr>
        <i/>
        <sz val="10"/>
        <rFont val="Times New Roman"/>
        <family val="1"/>
      </rPr>
      <t xml:space="preserve"> </t>
    </r>
  </si>
  <si>
    <t>3.</t>
  </si>
  <si>
    <t>Капитальный ремонт</t>
  </si>
  <si>
    <t>3.1.</t>
  </si>
  <si>
    <t>Капитальный ремонт объектов образования</t>
  </si>
  <si>
    <t>3.1.1.</t>
  </si>
  <si>
    <r>
      <t xml:space="preserve">Капитальный ремонт МДОУ "ЦРР-ДС № 2" г.Валуйки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(0701 0710472120/07104S2120 243 225/2250503                                                                    Доп.ФК 15.04.23)                                                                                                        </t>
    </r>
  </si>
  <si>
    <t>3.1.2.</t>
  </si>
  <si>
    <r>
      <t xml:space="preserve">Капитальный ремонт МДОУ "ЦРР-ДС №10" г.Валуйки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(0701 0710472120/07104S2120 244 225/2250503                                     Доп.ФК 15.04.27)</t>
    </r>
  </si>
  <si>
    <t>3.1.3.1.</t>
  </si>
  <si>
    <r>
      <t xml:space="preserve">Капитальный ремонт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07207L2550 243 225/2250503   Доп.ФК 15.04.32)</t>
    </r>
  </si>
  <si>
    <t>3.1.3.2.</t>
  </si>
  <si>
    <r>
      <t xml:space="preserve">Капитальный ремонт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0720772120/07207S1220 243 225/2250503                Доп.ФК 15.04.32)</t>
    </r>
  </si>
  <si>
    <t>3.1.4.</t>
  </si>
  <si>
    <r>
      <t xml:space="preserve">Капитальный ремонт МОУ "СОШ №1" г.Валуйки, Белгородской области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0720772120/07207S2120 243 225/2250503                                  Доп.ФК 15.04.31)</t>
    </r>
  </si>
  <si>
    <t>3.1.5.</t>
  </si>
  <si>
    <r>
      <t xml:space="preserve">Капитальный ремонт МОУ "Насоновская СОШ"               с пристройкой в с. Насоново Валуйского района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                                                 (0702 0720772120, 07207S2120 243 225/2250503 Доп.ФК 15.04.06)        </t>
    </r>
    <r>
      <rPr>
        <sz val="10"/>
        <color indexed="8"/>
        <rFont val="Times New Roman"/>
        <family val="1"/>
      </rPr>
      <t xml:space="preserve">                                                                           </t>
    </r>
  </si>
  <si>
    <t>3.2.</t>
  </si>
  <si>
    <t xml:space="preserve">Капитальный ремонт объектов культуры </t>
  </si>
  <si>
    <t>3.2.1.</t>
  </si>
  <si>
    <r>
      <t xml:space="preserve">Капитальный ремонт МУК "Районный дворец культуры и спорта" г.Валуйки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(0801 0830572120/08305S2120 243 225/2250503                                                                                             Доп.ФК 15.04.55) </t>
    </r>
  </si>
  <si>
    <t>3.2.2.1.</t>
  </si>
  <si>
    <r>
      <t xml:space="preserve">Капитальный ремонт помещений 2-го этажа, расположенного в с.Принцевка ул.Центральная д.52 Валуйского городского округа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(0801 0810622110 243 225/2250503   Доп.ФК 15.04.67)</t>
    </r>
  </si>
  <si>
    <t>3.2.2.2.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</si>
</sst>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0.0"/>
    <numFmt numFmtId="178" formatCode="#,###.##000"/>
    <numFmt numFmtId="179" formatCode="#,###.00"/>
  </numFmts>
  <fonts count="34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6" fillId="7" borderId="1" applyNumberFormat="0" applyAlignment="0" applyProtection="0"/>
    <xf numFmtId="0" fontId="17" fillId="20" borderId="2" applyNumberFormat="0" applyAlignment="0" applyProtection="0"/>
    <xf numFmtId="0" fontId="2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1" fillId="21" borderId="0" applyNumberFormat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27" fillId="23" borderId="8" applyNumberForma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77" fontId="3" fillId="0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25" borderId="15" xfId="0" applyNumberFormat="1" applyFont="1" applyFill="1" applyBorder="1" applyAlignment="1">
      <alignment horizontal="center" vertical="center" wrapText="1"/>
    </xf>
    <xf numFmtId="4" fontId="5" fillId="25" borderId="16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4" fontId="5" fillId="25" borderId="19" xfId="0" applyNumberFormat="1" applyFont="1" applyFill="1" applyBorder="1" applyAlignment="1">
      <alignment horizontal="center" vertical="center" wrapText="1"/>
    </xf>
    <xf numFmtId="49" fontId="5" fillId="25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" fontId="5" fillId="25" borderId="21" xfId="0" applyNumberFormat="1" applyFont="1" applyFill="1" applyBorder="1" applyAlignment="1">
      <alignment horizontal="center" vertical="center" wrapText="1"/>
    </xf>
    <xf numFmtId="4" fontId="5" fillId="25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25" borderId="24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77" fontId="5" fillId="25" borderId="29" xfId="0" applyNumberFormat="1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25" borderId="3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77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4" fontId="5" fillId="25" borderId="32" xfId="62" applyNumberFormat="1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4" fontId="5" fillId="25" borderId="31" xfId="0" applyNumberFormat="1" applyFont="1" applyFill="1" applyBorder="1" applyAlignment="1">
      <alignment horizontal="center" vertical="center" wrapText="1"/>
    </xf>
    <xf numFmtId="177" fontId="5" fillId="25" borderId="33" xfId="0" applyNumberFormat="1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25" borderId="35" xfId="0" applyNumberFormat="1" applyFont="1" applyFill="1" applyBorder="1" applyAlignment="1">
      <alignment horizontal="center" vertical="center" wrapText="1"/>
    </xf>
    <xf numFmtId="4" fontId="5" fillId="25" borderId="3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177" fontId="5" fillId="25" borderId="36" xfId="0" applyNumberFormat="1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25" borderId="38" xfId="0" applyNumberFormat="1" applyFont="1" applyFill="1" applyBorder="1" applyAlignment="1">
      <alignment horizontal="center" vertical="center" wrapText="1"/>
    </xf>
    <xf numFmtId="4" fontId="5" fillId="25" borderId="38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177" fontId="5" fillId="25" borderId="20" xfId="0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4" fontId="5" fillId="25" borderId="22" xfId="0" applyNumberFormat="1" applyFont="1" applyFill="1" applyBorder="1" applyAlignment="1">
      <alignment horizontal="center" vertical="center" wrapText="1"/>
    </xf>
    <xf numFmtId="177" fontId="5" fillId="25" borderId="23" xfId="0" applyNumberFormat="1" applyFont="1" applyFill="1" applyBorder="1" applyAlignment="1">
      <alignment horizontal="center" vertical="center" wrapText="1"/>
    </xf>
    <xf numFmtId="0" fontId="6" fillId="25" borderId="23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5" fillId="25" borderId="23" xfId="0" applyNumberFormat="1" applyFont="1" applyFill="1" applyBorder="1" applyAlignment="1">
      <alignment horizontal="center" vertical="center" wrapText="1"/>
    </xf>
    <xf numFmtId="0" fontId="6" fillId="25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177" fontId="5" fillId="25" borderId="42" xfId="0" applyNumberFormat="1" applyFont="1" applyFill="1" applyBorder="1" applyAlignment="1">
      <alignment horizontal="center" vertical="center" wrapText="1"/>
    </xf>
    <xf numFmtId="0" fontId="6" fillId="25" borderId="42" xfId="0" applyNumberFormat="1" applyFont="1" applyFill="1" applyBorder="1" applyAlignment="1">
      <alignment horizontal="center" vertical="center" wrapText="1"/>
    </xf>
    <xf numFmtId="0" fontId="5" fillId="25" borderId="20" xfId="0" applyNumberFormat="1" applyFont="1" applyFill="1" applyBorder="1" applyAlignment="1">
      <alignment horizontal="center" vertical="center" wrapText="1"/>
    </xf>
    <xf numFmtId="0" fontId="5" fillId="25" borderId="43" xfId="0" applyNumberFormat="1" applyFont="1" applyFill="1" applyBorder="1" applyAlignment="1">
      <alignment horizontal="center" vertical="center" wrapText="1"/>
    </xf>
    <xf numFmtId="0" fontId="5" fillId="25" borderId="44" xfId="0" applyNumberFormat="1" applyFont="1" applyFill="1" applyBorder="1" applyAlignment="1">
      <alignment horizontal="center" vertical="center" wrapText="1"/>
    </xf>
    <xf numFmtId="0" fontId="6" fillId="25" borderId="20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3" fillId="26" borderId="29" xfId="0" applyNumberFormat="1" applyFont="1" applyFill="1" applyBorder="1" applyAlignment="1">
      <alignment horizontal="center" vertical="center" wrapText="1"/>
    </xf>
    <xf numFmtId="4" fontId="5" fillId="25" borderId="40" xfId="62" applyNumberFormat="1" applyFont="1" applyFill="1" applyBorder="1" applyAlignment="1">
      <alignment horizontal="center" vertical="center" wrapText="1"/>
    </xf>
    <xf numFmtId="4" fontId="3" fillId="26" borderId="45" xfId="0" applyNumberFormat="1" applyFont="1" applyFill="1" applyBorder="1" applyAlignment="1">
      <alignment horizontal="center" vertical="center" wrapText="1"/>
    </xf>
    <xf numFmtId="4" fontId="5" fillId="25" borderId="41" xfId="62" applyNumberFormat="1" applyFont="1" applyFill="1" applyBorder="1" applyAlignment="1">
      <alignment horizontal="center" vertical="center" wrapText="1"/>
    </xf>
    <xf numFmtId="4" fontId="3" fillId="26" borderId="42" xfId="0" applyNumberFormat="1" applyFont="1" applyFill="1" applyBorder="1" applyAlignment="1">
      <alignment horizontal="center" vertical="center" wrapText="1"/>
    </xf>
    <xf numFmtId="4" fontId="7" fillId="25" borderId="26" xfId="0" applyNumberFormat="1" applyFont="1" applyFill="1" applyBorder="1" applyAlignment="1">
      <alignment horizontal="center" vertical="center" wrapText="1"/>
    </xf>
    <xf numFmtId="4" fontId="5" fillId="0" borderId="41" xfId="62" applyNumberFormat="1" applyFont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8" fillId="0" borderId="41" xfId="62" applyNumberFormat="1" applyFont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5" fillId="0" borderId="47" xfId="43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25" borderId="38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26" borderId="14" xfId="0" applyNumberFormat="1" applyFont="1" applyFill="1" applyBorder="1" applyAlignment="1">
      <alignment horizontal="center" vertical="center" wrapText="1"/>
    </xf>
    <xf numFmtId="4" fontId="7" fillId="25" borderId="49" xfId="0" applyNumberFormat="1" applyFont="1" applyFill="1" applyBorder="1" applyAlignment="1">
      <alignment horizontal="center" vertical="center" wrapText="1"/>
    </xf>
    <xf numFmtId="4" fontId="7" fillId="25" borderId="3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5" fillId="25" borderId="26" xfId="0" applyNumberFormat="1" applyFont="1" applyFill="1" applyBorder="1" applyAlignment="1">
      <alignment horizontal="center" vertical="center" wrapText="1"/>
    </xf>
    <xf numFmtId="4" fontId="7" fillId="25" borderId="32" xfId="0" applyNumberFormat="1" applyFont="1" applyFill="1" applyBorder="1" applyAlignment="1">
      <alignment horizontal="center" vertical="center" wrapText="1"/>
    </xf>
    <xf numFmtId="4" fontId="7" fillId="25" borderId="26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7" fillId="25" borderId="35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26" borderId="36" xfId="0" applyNumberFormat="1" applyFont="1" applyFill="1" applyBorder="1" applyAlignment="1">
      <alignment horizontal="center" vertical="center" wrapText="1"/>
    </xf>
    <xf numFmtId="4" fontId="7" fillId="25" borderId="53" xfId="0" applyNumberFormat="1" applyFont="1" applyFill="1" applyBorder="1" applyAlignment="1">
      <alignment horizontal="center" vertical="center" wrapText="1"/>
    </xf>
    <xf numFmtId="4" fontId="7" fillId="25" borderId="38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7" fillId="25" borderId="22" xfId="0" applyNumberFormat="1" applyFont="1" applyFill="1" applyBorder="1" applyAlignment="1">
      <alignment horizontal="center" vertical="center" wrapText="1"/>
    </xf>
    <xf numFmtId="4" fontId="5" fillId="0" borderId="39" xfId="43" applyNumberFormat="1" applyFont="1" applyFill="1" applyBorder="1" applyAlignment="1">
      <alignment horizontal="center" vertical="center" wrapText="1"/>
    </xf>
    <xf numFmtId="4" fontId="3" fillId="26" borderId="23" xfId="0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5" fillId="25" borderId="54" xfId="0" applyNumberFormat="1" applyFont="1" applyFill="1" applyBorder="1" applyAlignment="1">
      <alignment horizontal="center" vertical="center" wrapText="1"/>
    </xf>
    <xf numFmtId="4" fontId="7" fillId="25" borderId="55" xfId="0" applyNumberFormat="1" applyFont="1" applyFill="1" applyBorder="1" applyAlignment="1">
      <alignment horizontal="center" vertical="center" wrapText="1"/>
    </xf>
    <xf numFmtId="4" fontId="7" fillId="25" borderId="54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5" fillId="0" borderId="24" xfId="43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54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3" fillId="25" borderId="29" xfId="0" applyNumberFormat="1" applyFont="1" applyFill="1" applyBorder="1" applyAlignment="1">
      <alignment horizontal="center" vertical="center" wrapText="1"/>
    </xf>
    <xf numFmtId="4" fontId="3" fillId="25" borderId="23" xfId="0" applyNumberFormat="1" applyFont="1" applyFill="1" applyBorder="1" applyAlignment="1">
      <alignment horizontal="center" vertical="center" wrapText="1"/>
    </xf>
    <xf numFmtId="4" fontId="5" fillId="0" borderId="56" xfId="43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26" borderId="57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177" fontId="9" fillId="25" borderId="33" xfId="0" applyNumberFormat="1" applyFont="1" applyFill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4" fontId="5" fillId="25" borderId="59" xfId="62" applyNumberFormat="1" applyFont="1" applyFill="1" applyBorder="1" applyAlignment="1">
      <alignment horizontal="center" vertical="center" wrapText="1"/>
    </xf>
    <xf numFmtId="177" fontId="10" fillId="0" borderId="27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horizontal="center" vertical="center" wrapText="1"/>
    </xf>
    <xf numFmtId="0" fontId="6" fillId="25" borderId="61" xfId="0" applyFont="1" applyFill="1" applyBorder="1" applyAlignment="1">
      <alignment horizontal="center" vertical="center" wrapText="1"/>
    </xf>
    <xf numFmtId="4" fontId="5" fillId="0" borderId="59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Fill="1" applyBorder="1" applyAlignment="1">
      <alignment horizontal="center" vertical="center" wrapText="1"/>
    </xf>
    <xf numFmtId="177" fontId="9" fillId="0" borderId="63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5" fillId="25" borderId="65" xfId="0" applyNumberFormat="1" applyFont="1" applyFill="1" applyBorder="1" applyAlignment="1">
      <alignment horizontal="center" vertical="center" wrapText="1"/>
    </xf>
    <xf numFmtId="4" fontId="5" fillId="25" borderId="62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" fontId="5" fillId="25" borderId="67" xfId="0" applyNumberFormat="1" applyFont="1" applyFill="1" applyBorder="1" applyAlignment="1">
      <alignment horizontal="center" vertical="center" wrapText="1"/>
    </xf>
    <xf numFmtId="4" fontId="5" fillId="25" borderId="55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177" fontId="9" fillId="0" borderId="68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77" fontId="9" fillId="0" borderId="6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7" fontId="9" fillId="0" borderId="70" xfId="0" applyNumberFormat="1" applyFont="1" applyFill="1" applyBorder="1" applyAlignment="1">
      <alignment horizontal="center" vertical="center" wrapText="1"/>
    </xf>
    <xf numFmtId="0" fontId="6" fillId="25" borderId="42" xfId="0" applyFont="1" applyFill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177" fontId="9" fillId="25" borderId="20" xfId="0" applyNumberFormat="1" applyFont="1" applyFill="1" applyBorder="1" applyAlignment="1">
      <alignment horizontal="center" vertical="center" wrapText="1"/>
    </xf>
    <xf numFmtId="177" fontId="9" fillId="25" borderId="17" xfId="0" applyNumberFormat="1" applyFont="1" applyFill="1" applyBorder="1" applyAlignment="1">
      <alignment horizontal="center" vertical="center" wrapText="1"/>
    </xf>
    <xf numFmtId="0" fontId="5" fillId="25" borderId="71" xfId="0" applyFont="1" applyFill="1" applyBorder="1" applyAlignment="1">
      <alignment horizontal="center" vertical="center" wrapText="1"/>
    </xf>
    <xf numFmtId="4" fontId="5" fillId="0" borderId="72" xfId="0" applyNumberFormat="1" applyFont="1" applyFill="1" applyBorder="1" applyAlignment="1">
      <alignment horizontal="center" vertical="center" wrapText="1"/>
    </xf>
    <xf numFmtId="4" fontId="5" fillId="0" borderId="73" xfId="0" applyNumberFormat="1" applyFont="1" applyFill="1" applyBorder="1" applyAlignment="1">
      <alignment horizontal="center" vertical="center" wrapText="1"/>
    </xf>
    <xf numFmtId="4" fontId="5" fillId="25" borderId="73" xfId="0" applyNumberFormat="1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64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74" xfId="0" applyNumberFormat="1" applyFont="1" applyFill="1" applyBorder="1" applyAlignment="1">
      <alignment horizontal="center" vertical="center" wrapText="1"/>
    </xf>
    <xf numFmtId="4" fontId="5" fillId="0" borderId="51" xfId="43" applyNumberFormat="1" applyFont="1" applyFill="1" applyBorder="1" applyAlignment="1">
      <alignment horizontal="center" vertical="center" wrapText="1"/>
    </xf>
    <xf numFmtId="4" fontId="3" fillId="26" borderId="17" xfId="0" applyNumberFormat="1" applyFont="1" applyFill="1" applyBorder="1" applyAlignment="1">
      <alignment horizontal="center" vertical="center" wrapText="1"/>
    </xf>
    <xf numFmtId="4" fontId="7" fillId="25" borderId="31" xfId="0" applyNumberFormat="1" applyFont="1" applyFill="1" applyBorder="1" applyAlignment="1">
      <alignment horizontal="center" vertical="center" wrapText="1"/>
    </xf>
    <xf numFmtId="4" fontId="7" fillId="25" borderId="49" xfId="0" applyNumberFormat="1" applyFont="1" applyFill="1" applyBorder="1" applyAlignment="1">
      <alignment horizontal="center" vertical="center" wrapText="1"/>
    </xf>
    <xf numFmtId="4" fontId="5" fillId="0" borderId="75" xfId="43" applyNumberFormat="1" applyFont="1" applyFill="1" applyBorder="1" applyAlignment="1">
      <alignment horizontal="center" vertical="center" wrapText="1"/>
    </xf>
    <xf numFmtId="4" fontId="3" fillId="26" borderId="76" xfId="0" applyNumberFormat="1" applyFont="1" applyFill="1" applyBorder="1" applyAlignment="1">
      <alignment horizontal="center" vertical="center" wrapText="1"/>
    </xf>
    <xf numFmtId="4" fontId="5" fillId="0" borderId="77" xfId="43" applyNumberFormat="1" applyFont="1" applyFill="1" applyBorder="1" applyAlignment="1">
      <alignment horizontal="center" vertical="center" wrapText="1"/>
    </xf>
    <xf numFmtId="4" fontId="3" fillId="26" borderId="64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5" fillId="0" borderId="78" xfId="43" applyNumberFormat="1" applyFont="1" applyFill="1" applyBorder="1" applyAlignment="1">
      <alignment horizontal="center" vertical="center" wrapText="1"/>
    </xf>
    <xf numFmtId="4" fontId="5" fillId="0" borderId="79" xfId="43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25" borderId="19" xfId="0" applyNumberFormat="1" applyFont="1" applyFill="1" applyBorder="1" applyAlignment="1">
      <alignment horizontal="center" vertical="center" wrapText="1"/>
    </xf>
    <xf numFmtId="4" fontId="7" fillId="0" borderId="0" xfId="43" applyNumberFormat="1" applyFont="1" applyFill="1" applyBorder="1" applyAlignment="1">
      <alignment horizontal="center" vertical="center" wrapText="1"/>
    </xf>
    <xf numFmtId="4" fontId="3" fillId="0" borderId="80" xfId="0" applyNumberFormat="1" applyFont="1" applyFill="1" applyBorder="1" applyAlignment="1">
      <alignment horizontal="center" vertical="center" wrapText="1"/>
    </xf>
    <xf numFmtId="4" fontId="3" fillId="0" borderId="81" xfId="0" applyNumberFormat="1" applyFont="1" applyFill="1" applyBorder="1" applyAlignment="1">
      <alignment horizontal="center" vertical="center" wrapText="1"/>
    </xf>
    <xf numFmtId="179" fontId="3" fillId="26" borderId="12" xfId="0" applyNumberFormat="1" applyFont="1" applyFill="1" applyBorder="1" applyAlignment="1">
      <alignment horizontal="center" vertical="center" wrapText="1"/>
    </xf>
    <xf numFmtId="0" fontId="3" fillId="0" borderId="33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82" xfId="53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26" borderId="33" xfId="53" applyFont="1" applyFill="1" applyBorder="1" applyAlignment="1">
      <alignment horizontal="center" vertical="center" wrapText="1"/>
      <protection/>
    </xf>
    <xf numFmtId="0" fontId="3" fillId="26" borderId="17" xfId="53" applyFont="1" applyFill="1" applyBorder="1" applyAlignment="1">
      <alignment horizontal="center" vertical="center" wrapText="1"/>
      <protection/>
    </xf>
    <xf numFmtId="0" fontId="3" fillId="26" borderId="57" xfId="53" applyFont="1" applyFill="1" applyBorder="1" applyAlignment="1">
      <alignment horizontal="center" vertical="center" wrapText="1"/>
      <protection/>
    </xf>
    <xf numFmtId="0" fontId="3" fillId="0" borderId="47" xfId="53" applyFont="1" applyFill="1" applyBorder="1" applyAlignment="1">
      <alignment horizontal="center" vertical="center" wrapText="1"/>
      <protection/>
    </xf>
    <xf numFmtId="0" fontId="3" fillId="0" borderId="83" xfId="53" applyFont="1" applyFill="1" applyBorder="1" applyAlignment="1">
      <alignment horizontal="center" vertical="center" wrapText="1"/>
      <protection/>
    </xf>
    <xf numFmtId="0" fontId="3" fillId="0" borderId="29" xfId="53" applyFont="1" applyFill="1" applyBorder="1" applyAlignment="1">
      <alignment horizontal="center" vertical="center" wrapText="1"/>
      <protection/>
    </xf>
    <xf numFmtId="0" fontId="3" fillId="0" borderId="71" xfId="53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9" fontId="3" fillId="0" borderId="29" xfId="53" applyNumberFormat="1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49" fontId="3" fillId="0" borderId="71" xfId="53" applyNumberFormat="1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84" xfId="53" applyFont="1" applyFill="1" applyBorder="1" applyAlignment="1">
      <alignment horizontal="center" vertical="center" wrapText="1"/>
      <protection/>
    </xf>
    <xf numFmtId="0" fontId="3" fillId="0" borderId="85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2" fontId="3" fillId="0" borderId="47" xfId="45" applyNumberFormat="1" applyFont="1" applyFill="1" applyBorder="1" applyAlignment="1">
      <alignment horizontal="center" vertical="center" wrapText="1"/>
    </xf>
    <xf numFmtId="2" fontId="3" fillId="0" borderId="83" xfId="45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2" fillId="25" borderId="0" xfId="53" applyFont="1" applyFill="1" applyAlignment="1">
      <alignment horizontal="center" vertical="center" wrapText="1"/>
      <protection/>
    </xf>
    <xf numFmtId="0" fontId="3" fillId="0" borderId="57" xfId="53" applyFont="1" applyFill="1" applyBorder="1" applyAlignment="1">
      <alignment horizontal="center" vertical="center" wrapText="1"/>
      <protection/>
    </xf>
  </cellXfs>
  <cellStyles count="51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Итого" xfId="51"/>
    <cellStyle name="Нейтральный" xfId="52"/>
    <cellStyle name="Обычный_Лист1" xfId="53"/>
    <cellStyle name="Followed Hyperlink" xfId="54"/>
    <cellStyle name="Плохой" xfId="55"/>
    <cellStyle name="Пояснительный текст" xfId="56"/>
    <cellStyle name="Предупреждающий текст" xfId="57"/>
    <cellStyle name="Примечание" xfId="58"/>
    <cellStyle name="Проверить ячейку" xfId="59"/>
    <cellStyle name="Percent" xfId="60"/>
    <cellStyle name="Связанная ячейка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SheetLayoutView="100" workbookViewId="0" topLeftCell="A8">
      <pane ySplit="3" topLeftCell="BM11" activePane="bottomLeft" state="frozen"/>
      <selection pane="topLeft" activeCell="A1" sqref="A1"/>
      <selection pane="bottomLeft" activeCell="D41" sqref="D41:E41"/>
    </sheetView>
  </sheetViews>
  <sheetFormatPr defaultColWidth="9.125" defaultRowHeight="12.75"/>
  <cols>
    <col min="1" max="1" width="9.75390625" style="0" customWidth="1"/>
    <col min="2" max="2" width="51.125" style="0" customWidth="1"/>
    <col min="3" max="3" width="10.00390625" style="0" customWidth="1"/>
    <col min="4" max="4" width="11.375" style="0" customWidth="1"/>
    <col min="5" max="5" width="12.75390625" style="0" customWidth="1"/>
    <col min="6" max="6" width="12.00390625" style="0" customWidth="1"/>
    <col min="7" max="7" width="11.375" style="0" customWidth="1"/>
    <col min="8" max="8" width="9.375" style="0" customWidth="1"/>
    <col min="9" max="9" width="9.125" style="0" customWidth="1"/>
    <col min="10" max="10" width="10.25390625" style="0" customWidth="1"/>
    <col min="11" max="11" width="12.625" style="0" customWidth="1"/>
    <col min="12" max="12" width="9.875" style="0" bestFit="1" customWidth="1"/>
    <col min="13" max="13" width="10.625" style="0" customWidth="1"/>
    <col min="14" max="14" width="12.75390625" style="0" customWidth="1"/>
    <col min="15" max="15" width="10.375" style="0" customWidth="1"/>
    <col min="16" max="16" width="11.875" style="0" customWidth="1"/>
    <col min="19" max="19" width="11.125" style="0" customWidth="1"/>
    <col min="20" max="20" width="13.125" style="0" customWidth="1"/>
    <col min="21" max="21" width="12.375" style="0" customWidth="1"/>
  </cols>
  <sheetData>
    <row r="1" spans="17:21" ht="43.5" customHeight="1">
      <c r="Q1" s="230" t="s">
        <v>155</v>
      </c>
      <c r="R1" s="230"/>
      <c r="S1" s="230"/>
      <c r="T1" s="230"/>
      <c r="U1" s="230"/>
    </row>
    <row r="2" spans="17:21" ht="33.75" customHeight="1">
      <c r="Q2" s="230"/>
      <c r="R2" s="230"/>
      <c r="S2" s="230"/>
      <c r="T2" s="230"/>
      <c r="U2" s="230"/>
    </row>
    <row r="4" spans="8:11" ht="12" customHeight="1">
      <c r="H4" s="2"/>
      <c r="I4" s="2"/>
      <c r="J4" s="2"/>
      <c r="K4" s="2"/>
    </row>
    <row r="5" spans="1:21" ht="13.5" customHeight="1">
      <c r="A5" s="231" t="s">
        <v>156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1" ht="24.75" customHeight="1">
      <c r="A6" s="231" t="s">
        <v>157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</row>
    <row r="7" spans="1:11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21" ht="15" customHeight="1">
      <c r="A8" s="220" t="s">
        <v>158</v>
      </c>
      <c r="B8" s="216" t="s">
        <v>159</v>
      </c>
      <c r="C8" s="207" t="s">
        <v>160</v>
      </c>
      <c r="D8" s="208"/>
      <c r="E8" s="208"/>
      <c r="F8" s="208"/>
      <c r="G8" s="208"/>
      <c r="H8" s="208"/>
      <c r="I8" s="208"/>
      <c r="J8" s="208"/>
      <c r="K8" s="211" t="s">
        <v>161</v>
      </c>
      <c r="L8" s="208" t="s">
        <v>162</v>
      </c>
      <c r="M8" s="208"/>
      <c r="N8" s="208"/>
      <c r="O8" s="208"/>
      <c r="P8" s="208"/>
      <c r="Q8" s="208"/>
      <c r="R8" s="208"/>
      <c r="S8" s="208"/>
      <c r="T8" s="211" t="s">
        <v>161</v>
      </c>
      <c r="U8" s="205" t="s">
        <v>163</v>
      </c>
    </row>
    <row r="9" spans="1:21" ht="15.75" customHeight="1">
      <c r="A9" s="221"/>
      <c r="B9" s="223"/>
      <c r="C9" s="224" t="s">
        <v>164</v>
      </c>
      <c r="D9" s="216" t="s">
        <v>165</v>
      </c>
      <c r="E9" s="207" t="s">
        <v>166</v>
      </c>
      <c r="F9" s="208"/>
      <c r="G9" s="226" t="s">
        <v>167</v>
      </c>
      <c r="H9" s="216" t="s">
        <v>168</v>
      </c>
      <c r="I9" s="220" t="s">
        <v>169</v>
      </c>
      <c r="J9" s="228" t="s">
        <v>170</v>
      </c>
      <c r="K9" s="212"/>
      <c r="L9" s="214" t="s">
        <v>164</v>
      </c>
      <c r="M9" s="216" t="s">
        <v>165</v>
      </c>
      <c r="N9" s="207" t="s">
        <v>166</v>
      </c>
      <c r="O9" s="208"/>
      <c r="P9" s="226" t="s">
        <v>171</v>
      </c>
      <c r="Q9" s="216" t="s">
        <v>172</v>
      </c>
      <c r="R9" s="220" t="s">
        <v>169</v>
      </c>
      <c r="S9" s="228" t="s">
        <v>173</v>
      </c>
      <c r="T9" s="212"/>
      <c r="U9" s="206"/>
    </row>
    <row r="10" spans="1:21" ht="69" customHeight="1">
      <c r="A10" s="222"/>
      <c r="B10" s="217"/>
      <c r="C10" s="225"/>
      <c r="D10" s="217"/>
      <c r="E10" s="5" t="s">
        <v>174</v>
      </c>
      <c r="F10" s="4" t="s">
        <v>175</v>
      </c>
      <c r="G10" s="227"/>
      <c r="H10" s="217"/>
      <c r="I10" s="222"/>
      <c r="J10" s="229"/>
      <c r="K10" s="213"/>
      <c r="L10" s="215"/>
      <c r="M10" s="217"/>
      <c r="N10" s="5" t="s">
        <v>176</v>
      </c>
      <c r="O10" s="4" t="s">
        <v>175</v>
      </c>
      <c r="P10" s="227"/>
      <c r="Q10" s="217"/>
      <c r="R10" s="222"/>
      <c r="S10" s="229"/>
      <c r="T10" s="213"/>
      <c r="U10" s="232"/>
    </row>
    <row r="11" spans="1:21" ht="23.25" customHeight="1">
      <c r="A11" s="6" t="s">
        <v>177</v>
      </c>
      <c r="B11" s="7" t="s">
        <v>178</v>
      </c>
      <c r="C11" s="8">
        <f aca="true" t="shared" si="0" ref="C11:J11">C12+C13+C16+C14+C15+C17+C18+C19+C20+C21+C22+C23+C24</f>
        <v>0</v>
      </c>
      <c r="D11" s="8">
        <f t="shared" si="0"/>
        <v>134936</v>
      </c>
      <c r="E11" s="8">
        <f t="shared" si="0"/>
        <v>8965.35342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36525</v>
      </c>
      <c r="K11" s="76">
        <f aca="true" t="shared" si="1" ref="K11:K34">SUM(C11:J11)</f>
        <v>180426.35342</v>
      </c>
      <c r="L11" s="8">
        <f aca="true" t="shared" si="2" ref="L11:S11">L12+L13+L16+L14+L15+L17+L18+L19+L20+L21+L22+L23+L24</f>
        <v>0</v>
      </c>
      <c r="M11" s="8">
        <f t="shared" si="2"/>
        <v>14100</v>
      </c>
      <c r="N11" s="8">
        <f t="shared" si="2"/>
        <v>1143.98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18763.883</v>
      </c>
      <c r="T11" s="76">
        <f aca="true" t="shared" si="3" ref="T11:T36">SUM(L11:S11)</f>
        <v>34007.863</v>
      </c>
      <c r="U11" s="29">
        <f aca="true" t="shared" si="4" ref="U11:U36">K11-T11</f>
        <v>146418.49042</v>
      </c>
    </row>
    <row r="12" spans="1:21" ht="54.75" customHeight="1">
      <c r="A12" s="9" t="s">
        <v>179</v>
      </c>
      <c r="B12" s="10" t="s">
        <v>180</v>
      </c>
      <c r="C12" s="11"/>
      <c r="D12" s="12"/>
      <c r="E12" s="12"/>
      <c r="F12" s="12"/>
      <c r="G12" s="12"/>
      <c r="H12" s="12"/>
      <c r="I12" s="12"/>
      <c r="J12" s="40">
        <f>21935-0.38689+2000</f>
        <v>23934.61311</v>
      </c>
      <c r="K12" s="77">
        <f t="shared" si="1"/>
        <v>23934.61311</v>
      </c>
      <c r="L12" s="38"/>
      <c r="M12" s="38"/>
      <c r="N12" s="38"/>
      <c r="O12" s="38"/>
      <c r="P12" s="38"/>
      <c r="Q12" s="38"/>
      <c r="R12" s="38"/>
      <c r="S12" s="100">
        <f>1051.3436+676.08224+302.73716+7000+3000</f>
        <v>12030.163</v>
      </c>
      <c r="T12" s="114">
        <f t="shared" si="3"/>
        <v>12030.163</v>
      </c>
      <c r="U12" s="124">
        <f t="shared" si="4"/>
        <v>11904.450109999998</v>
      </c>
    </row>
    <row r="13" spans="1:21" ht="81" customHeight="1">
      <c r="A13" s="13" t="s">
        <v>181</v>
      </c>
      <c r="B13" s="14" t="s">
        <v>182</v>
      </c>
      <c r="C13" s="15"/>
      <c r="D13" s="16"/>
      <c r="E13" s="16"/>
      <c r="F13" s="16"/>
      <c r="G13" s="16"/>
      <c r="H13" s="16"/>
      <c r="I13" s="16"/>
      <c r="J13" s="78">
        <f>4500+250+50-2000</f>
        <v>2800</v>
      </c>
      <c r="K13" s="79">
        <f t="shared" si="1"/>
        <v>2800</v>
      </c>
      <c r="L13" s="26"/>
      <c r="M13" s="26"/>
      <c r="N13" s="26"/>
      <c r="O13" s="26"/>
      <c r="P13" s="26"/>
      <c r="Q13" s="26"/>
      <c r="R13" s="26"/>
      <c r="S13" s="121"/>
      <c r="T13" s="114">
        <f t="shared" si="3"/>
        <v>0</v>
      </c>
      <c r="U13" s="125">
        <f t="shared" si="4"/>
        <v>2800</v>
      </c>
    </row>
    <row r="14" spans="1:21" ht="54.75" customHeight="1">
      <c r="A14" s="17" t="s">
        <v>183</v>
      </c>
      <c r="B14" s="18" t="s">
        <v>184</v>
      </c>
      <c r="C14" s="19"/>
      <c r="D14" s="20"/>
      <c r="E14" s="20"/>
      <c r="F14" s="20"/>
      <c r="G14" s="20"/>
      <c r="H14" s="20"/>
      <c r="I14" s="20"/>
      <c r="J14" s="80">
        <v>1419</v>
      </c>
      <c r="K14" s="81">
        <f t="shared" si="1"/>
        <v>1419</v>
      </c>
      <c r="L14" s="26"/>
      <c r="M14" s="26"/>
      <c r="N14" s="26"/>
      <c r="O14" s="26"/>
      <c r="P14" s="26"/>
      <c r="Q14" s="26"/>
      <c r="R14" s="26"/>
      <c r="S14" s="121">
        <v>1419</v>
      </c>
      <c r="T14" s="114">
        <f t="shared" si="3"/>
        <v>1419</v>
      </c>
      <c r="U14" s="125">
        <f t="shared" si="4"/>
        <v>0</v>
      </c>
    </row>
    <row r="15" spans="1:21" ht="54" customHeight="1">
      <c r="A15" s="17" t="s">
        <v>185</v>
      </c>
      <c r="B15" s="18" t="s">
        <v>186</v>
      </c>
      <c r="C15" s="19"/>
      <c r="D15" s="20"/>
      <c r="E15" s="20"/>
      <c r="F15" s="20"/>
      <c r="G15" s="20"/>
      <c r="H15" s="20"/>
      <c r="I15" s="20"/>
      <c r="J15" s="80">
        <f>350-50</f>
        <v>300</v>
      </c>
      <c r="K15" s="81">
        <f t="shared" si="1"/>
        <v>300</v>
      </c>
      <c r="L15" s="26"/>
      <c r="M15" s="26"/>
      <c r="N15" s="26"/>
      <c r="O15" s="26"/>
      <c r="P15" s="26"/>
      <c r="Q15" s="26"/>
      <c r="R15" s="26"/>
      <c r="S15" s="100">
        <f>6.25+1.25+1.25+1.25+1.25+1.25+1.25+5+1.25+3.75+1.25+1.25</f>
        <v>26.25</v>
      </c>
      <c r="T15" s="114">
        <f t="shared" si="3"/>
        <v>26.25</v>
      </c>
      <c r="U15" s="125">
        <f t="shared" si="4"/>
        <v>273.75</v>
      </c>
    </row>
    <row r="16" spans="1:21" ht="67.5" customHeight="1">
      <c r="A16" s="17" t="s">
        <v>187</v>
      </c>
      <c r="B16" s="21" t="s">
        <v>188</v>
      </c>
      <c r="C16" s="19"/>
      <c r="D16" s="20">
        <f>14100+22560+21824+76452</f>
        <v>134936</v>
      </c>
      <c r="E16" s="20">
        <f>900+1440+1393+4880</f>
        <v>8613</v>
      </c>
      <c r="F16" s="20"/>
      <c r="G16" s="20"/>
      <c r="H16" s="20"/>
      <c r="I16" s="20"/>
      <c r="J16" s="80">
        <v>0.38689</v>
      </c>
      <c r="K16" s="81">
        <f t="shared" si="1"/>
        <v>143549.38689</v>
      </c>
      <c r="L16" s="26"/>
      <c r="M16" s="82">
        <v>14100</v>
      </c>
      <c r="N16" s="82">
        <v>900</v>
      </c>
      <c r="O16" s="26"/>
      <c r="P16" s="26"/>
      <c r="Q16" s="26"/>
      <c r="R16" s="26"/>
      <c r="S16" s="121"/>
      <c r="T16" s="114">
        <f t="shared" si="3"/>
        <v>15000</v>
      </c>
      <c r="U16" s="125">
        <f t="shared" si="4"/>
        <v>128549.38689</v>
      </c>
    </row>
    <row r="17" spans="1:21" ht="66" customHeight="1">
      <c r="A17" s="17" t="s">
        <v>189</v>
      </c>
      <c r="B17" s="14" t="s">
        <v>190</v>
      </c>
      <c r="C17" s="19"/>
      <c r="D17" s="20"/>
      <c r="E17" s="20"/>
      <c r="F17" s="20"/>
      <c r="G17" s="20"/>
      <c r="H17" s="20"/>
      <c r="I17" s="20"/>
      <c r="J17" s="80">
        <v>30</v>
      </c>
      <c r="K17" s="81">
        <f t="shared" si="1"/>
        <v>30</v>
      </c>
      <c r="L17" s="26"/>
      <c r="M17" s="26"/>
      <c r="N17" s="26"/>
      <c r="O17" s="26"/>
      <c r="P17" s="26"/>
      <c r="Q17" s="26"/>
      <c r="R17" s="26"/>
      <c r="S17" s="121">
        <v>1.25</v>
      </c>
      <c r="T17" s="114">
        <f t="shared" si="3"/>
        <v>1.25</v>
      </c>
      <c r="U17" s="125">
        <f t="shared" si="4"/>
        <v>28.75</v>
      </c>
    </row>
    <row r="18" spans="1:21" ht="93" customHeight="1">
      <c r="A18" s="17" t="s">
        <v>191</v>
      </c>
      <c r="B18" s="22" t="s">
        <v>192</v>
      </c>
      <c r="C18" s="19"/>
      <c r="D18" s="20"/>
      <c r="E18" s="20"/>
      <c r="F18" s="20"/>
      <c r="G18" s="20"/>
      <c r="H18" s="20"/>
      <c r="I18" s="20"/>
      <c r="J18" s="80">
        <f>550-250</f>
        <v>300</v>
      </c>
      <c r="K18" s="81">
        <f t="shared" si="1"/>
        <v>300</v>
      </c>
      <c r="L18" s="26"/>
      <c r="M18" s="26"/>
      <c r="N18" s="26"/>
      <c r="O18" s="26"/>
      <c r="P18" s="26"/>
      <c r="Q18" s="26"/>
      <c r="R18" s="26"/>
      <c r="S18" s="100">
        <v>7.2</v>
      </c>
      <c r="T18" s="114">
        <f t="shared" si="3"/>
        <v>7.2</v>
      </c>
      <c r="U18" s="125">
        <f t="shared" si="4"/>
        <v>292.8</v>
      </c>
    </row>
    <row r="19" spans="1:21" ht="54.75" customHeight="1">
      <c r="A19" s="17" t="s">
        <v>193</v>
      </c>
      <c r="B19" s="22" t="s">
        <v>194</v>
      </c>
      <c r="C19" s="23"/>
      <c r="D19" s="24"/>
      <c r="E19" s="24">
        <v>219.35342</v>
      </c>
      <c r="F19" s="24"/>
      <c r="G19" s="24"/>
      <c r="H19" s="24"/>
      <c r="I19" s="24"/>
      <c r="J19" s="83">
        <v>2692</v>
      </c>
      <c r="K19" s="81">
        <f t="shared" si="1"/>
        <v>2911.35342</v>
      </c>
      <c r="L19" s="26"/>
      <c r="M19" s="26"/>
      <c r="N19" s="84">
        <v>194.775</v>
      </c>
      <c r="O19" s="26"/>
      <c r="P19" s="26"/>
      <c r="Q19" s="26"/>
      <c r="R19" s="26"/>
      <c r="S19" s="100">
        <v>2692</v>
      </c>
      <c r="T19" s="114">
        <f t="shared" si="3"/>
        <v>2886.775</v>
      </c>
      <c r="U19" s="125">
        <f t="shared" si="4"/>
        <v>24.578419999999824</v>
      </c>
    </row>
    <row r="20" spans="1:21" ht="76.5" customHeight="1">
      <c r="A20" s="17" t="s">
        <v>195</v>
      </c>
      <c r="B20" s="22" t="s">
        <v>196</v>
      </c>
      <c r="C20" s="23"/>
      <c r="D20" s="24"/>
      <c r="E20" s="24"/>
      <c r="F20" s="24"/>
      <c r="G20" s="24"/>
      <c r="H20" s="24"/>
      <c r="I20" s="24"/>
      <c r="J20" s="80">
        <f>3597+1000</f>
        <v>4597</v>
      </c>
      <c r="K20" s="81">
        <f t="shared" si="1"/>
        <v>4597</v>
      </c>
      <c r="L20" s="26"/>
      <c r="M20" s="26"/>
      <c r="N20" s="26"/>
      <c r="O20" s="26"/>
      <c r="P20" s="26"/>
      <c r="Q20" s="26"/>
      <c r="R20" s="26"/>
      <c r="S20" s="121">
        <f>51.0608+713.5728+100+691.088+822.4624</f>
        <v>2378.1839999999997</v>
      </c>
      <c r="T20" s="114">
        <f t="shared" si="3"/>
        <v>2378.1839999999997</v>
      </c>
      <c r="U20" s="125">
        <f t="shared" si="4"/>
        <v>2218.8160000000003</v>
      </c>
    </row>
    <row r="21" spans="1:21" ht="81.75" customHeight="1">
      <c r="A21" s="17" t="s">
        <v>197</v>
      </c>
      <c r="B21" s="22" t="s">
        <v>198</v>
      </c>
      <c r="C21" s="23"/>
      <c r="D21" s="24"/>
      <c r="E21" s="24"/>
      <c r="F21" s="24"/>
      <c r="G21" s="24"/>
      <c r="H21" s="24"/>
      <c r="I21" s="24"/>
      <c r="J21" s="80">
        <v>352</v>
      </c>
      <c r="K21" s="81">
        <f t="shared" si="1"/>
        <v>352</v>
      </c>
      <c r="L21" s="26"/>
      <c r="M21" s="26"/>
      <c r="N21" s="26"/>
      <c r="O21" s="26"/>
      <c r="P21" s="26"/>
      <c r="Q21" s="26"/>
      <c r="R21" s="26"/>
      <c r="S21" s="100">
        <f>12.96+96.876</f>
        <v>109.83600000000001</v>
      </c>
      <c r="T21" s="114">
        <f t="shared" si="3"/>
        <v>109.83600000000001</v>
      </c>
      <c r="U21" s="125">
        <f t="shared" si="4"/>
        <v>242.164</v>
      </c>
    </row>
    <row r="22" spans="1:21" ht="45" customHeight="1">
      <c r="A22" s="17" t="s">
        <v>199</v>
      </c>
      <c r="B22" s="21" t="s">
        <v>200</v>
      </c>
      <c r="C22" s="25"/>
      <c r="D22" s="26"/>
      <c r="E22" s="26"/>
      <c r="F22" s="26"/>
      <c r="G22" s="26"/>
      <c r="H22" s="26"/>
      <c r="I22" s="26"/>
      <c r="J22" s="40">
        <v>100</v>
      </c>
      <c r="K22" s="81">
        <f t="shared" si="1"/>
        <v>100</v>
      </c>
      <c r="L22" s="26"/>
      <c r="M22" s="26"/>
      <c r="N22" s="26"/>
      <c r="O22" s="26"/>
      <c r="P22" s="26"/>
      <c r="Q22" s="26"/>
      <c r="R22" s="26"/>
      <c r="S22" s="100">
        <v>100</v>
      </c>
      <c r="T22" s="114">
        <f t="shared" si="3"/>
        <v>100</v>
      </c>
      <c r="U22" s="125">
        <f t="shared" si="4"/>
        <v>0</v>
      </c>
    </row>
    <row r="23" spans="1:21" ht="118.5" customHeight="1">
      <c r="A23" s="17" t="s">
        <v>201</v>
      </c>
      <c r="B23" s="27" t="s">
        <v>202</v>
      </c>
      <c r="C23" s="23"/>
      <c r="D23" s="24"/>
      <c r="E23" s="20">
        <f>132-3</f>
        <v>129</v>
      </c>
      <c r="F23" s="24"/>
      <c r="G23" s="24"/>
      <c r="H23" s="24"/>
      <c r="I23" s="24"/>
      <c r="J23" s="85"/>
      <c r="K23" s="81">
        <f t="shared" si="1"/>
        <v>129</v>
      </c>
      <c r="L23" s="26"/>
      <c r="M23" s="26"/>
      <c r="N23" s="82">
        <f>35.505+6+2.705+4.995</f>
        <v>49.205</v>
      </c>
      <c r="O23" s="26"/>
      <c r="P23" s="26"/>
      <c r="Q23" s="26"/>
      <c r="R23" s="26"/>
      <c r="S23" s="121"/>
      <c r="T23" s="114">
        <f t="shared" si="3"/>
        <v>49.205</v>
      </c>
      <c r="U23" s="125">
        <f t="shared" si="4"/>
        <v>79.795</v>
      </c>
    </row>
    <row r="24" spans="1:21" ht="45" customHeight="1">
      <c r="A24" s="17" t="s">
        <v>201</v>
      </c>
      <c r="B24" s="27" t="s">
        <v>203</v>
      </c>
      <c r="C24" s="23"/>
      <c r="D24" s="24"/>
      <c r="E24" s="20">
        <f>4</f>
        <v>4</v>
      </c>
      <c r="F24" s="24"/>
      <c r="G24" s="24"/>
      <c r="H24" s="24"/>
      <c r="I24" s="24"/>
      <c r="J24" s="85"/>
      <c r="K24" s="81">
        <f t="shared" si="1"/>
        <v>4</v>
      </c>
      <c r="L24" s="26"/>
      <c r="M24" s="26"/>
      <c r="N24" s="82"/>
      <c r="O24" s="26"/>
      <c r="P24" s="26"/>
      <c r="Q24" s="26"/>
      <c r="R24" s="26"/>
      <c r="S24" s="121"/>
      <c r="T24" s="114">
        <f t="shared" si="3"/>
        <v>0</v>
      </c>
      <c r="U24" s="125">
        <f t="shared" si="4"/>
        <v>4</v>
      </c>
    </row>
    <row r="25" spans="1:21" ht="23.25" customHeight="1">
      <c r="A25" s="6" t="s">
        <v>204</v>
      </c>
      <c r="B25" s="7" t="s">
        <v>205</v>
      </c>
      <c r="C25" s="28">
        <f aca="true" t="shared" si="5" ref="C25:J25">C26</f>
        <v>0</v>
      </c>
      <c r="D25" s="29">
        <f t="shared" si="5"/>
        <v>21215</v>
      </c>
      <c r="E25" s="30">
        <f t="shared" si="5"/>
        <v>0</v>
      </c>
      <c r="F25" s="29">
        <f t="shared" si="5"/>
        <v>0</v>
      </c>
      <c r="G25" s="30">
        <f t="shared" si="5"/>
        <v>0</v>
      </c>
      <c r="H25" s="29">
        <f t="shared" si="5"/>
        <v>0</v>
      </c>
      <c r="I25" s="30">
        <f t="shared" si="5"/>
        <v>0</v>
      </c>
      <c r="J25" s="29">
        <f t="shared" si="5"/>
        <v>0</v>
      </c>
      <c r="K25" s="76">
        <f t="shared" si="1"/>
        <v>21215</v>
      </c>
      <c r="L25" s="86">
        <f aca="true" t="shared" si="6" ref="L25:S25">L26</f>
        <v>0</v>
      </c>
      <c r="M25" s="29">
        <f t="shared" si="6"/>
        <v>1515.327</v>
      </c>
      <c r="N25" s="30">
        <f t="shared" si="6"/>
        <v>0</v>
      </c>
      <c r="O25" s="29">
        <f t="shared" si="6"/>
        <v>0</v>
      </c>
      <c r="P25" s="30">
        <f t="shared" si="6"/>
        <v>0</v>
      </c>
      <c r="Q25" s="29">
        <f t="shared" si="6"/>
        <v>0</v>
      </c>
      <c r="R25" s="30">
        <f t="shared" si="6"/>
        <v>0</v>
      </c>
      <c r="S25" s="29">
        <f t="shared" si="6"/>
        <v>0</v>
      </c>
      <c r="T25" s="76">
        <f t="shared" si="3"/>
        <v>1515.327</v>
      </c>
      <c r="U25" s="29">
        <f t="shared" si="4"/>
        <v>19699.673</v>
      </c>
    </row>
    <row r="26" spans="1:21" ht="69" customHeight="1">
      <c r="A26" s="31" t="s">
        <v>206</v>
      </c>
      <c r="B26" s="32" t="s">
        <v>207</v>
      </c>
      <c r="C26" s="33"/>
      <c r="D26" s="34">
        <v>21215</v>
      </c>
      <c r="E26" s="35"/>
      <c r="F26" s="35"/>
      <c r="G26" s="35"/>
      <c r="H26" s="35"/>
      <c r="I26" s="35"/>
      <c r="J26" s="87"/>
      <c r="K26" s="76">
        <f t="shared" si="1"/>
        <v>21215</v>
      </c>
      <c r="L26" s="88"/>
      <c r="M26" s="89">
        <v>1515.327</v>
      </c>
      <c r="N26" s="54"/>
      <c r="O26" s="54"/>
      <c r="P26" s="54"/>
      <c r="Q26" s="54"/>
      <c r="R26" s="54"/>
      <c r="S26" s="126"/>
      <c r="T26" s="76">
        <f t="shared" si="3"/>
        <v>1515.327</v>
      </c>
      <c r="U26" s="127">
        <f t="shared" si="4"/>
        <v>19699.673</v>
      </c>
    </row>
    <row r="27" spans="1:21" ht="23.25" customHeight="1">
      <c r="A27" s="6" t="s">
        <v>208</v>
      </c>
      <c r="B27" s="7" t="s">
        <v>209</v>
      </c>
      <c r="C27" s="8">
        <f aca="true" t="shared" si="7" ref="C27:J27">C28+C39+C35</f>
        <v>47128.3</v>
      </c>
      <c r="D27" s="8">
        <f t="shared" si="7"/>
        <v>185750.7</v>
      </c>
      <c r="E27" s="8">
        <f t="shared" si="7"/>
        <v>25656.1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76">
        <f t="shared" si="1"/>
        <v>258535.1</v>
      </c>
      <c r="L27" s="90">
        <f aca="true" t="shared" si="8" ref="L27:S27">L28+L39+L35</f>
        <v>0</v>
      </c>
      <c r="M27" s="8">
        <f t="shared" si="8"/>
        <v>68790.79545</v>
      </c>
      <c r="N27" s="8">
        <f t="shared" si="8"/>
        <v>7642.49651</v>
      </c>
      <c r="O27" s="8">
        <f t="shared" si="8"/>
        <v>0</v>
      </c>
      <c r="P27" s="8">
        <f t="shared" si="8"/>
        <v>0</v>
      </c>
      <c r="Q27" s="8">
        <f t="shared" si="8"/>
        <v>0</v>
      </c>
      <c r="R27" s="8">
        <f t="shared" si="8"/>
        <v>0</v>
      </c>
      <c r="S27" s="8">
        <f t="shared" si="8"/>
        <v>0</v>
      </c>
      <c r="T27" s="76">
        <f t="shared" si="3"/>
        <v>76433.29196</v>
      </c>
      <c r="U27" s="29">
        <f t="shared" si="4"/>
        <v>182101.80804</v>
      </c>
    </row>
    <row r="28" spans="1:21" ht="21.75" customHeight="1">
      <c r="A28" s="6" t="s">
        <v>210</v>
      </c>
      <c r="B28" s="7" t="s">
        <v>211</v>
      </c>
      <c r="C28" s="8">
        <f aca="true" t="shared" si="9" ref="C28:J28">C29+C30+C31+C33+C32+C34</f>
        <v>47128.3</v>
      </c>
      <c r="D28" s="8">
        <f t="shared" si="9"/>
        <v>103224.7</v>
      </c>
      <c r="E28" s="8">
        <f t="shared" si="9"/>
        <v>15688</v>
      </c>
      <c r="F28" s="8">
        <f t="shared" si="9"/>
        <v>0</v>
      </c>
      <c r="G28" s="8">
        <f t="shared" si="9"/>
        <v>0</v>
      </c>
      <c r="H28" s="8">
        <f t="shared" si="9"/>
        <v>0</v>
      </c>
      <c r="I28" s="8">
        <f t="shared" si="9"/>
        <v>0</v>
      </c>
      <c r="J28" s="8">
        <f t="shared" si="9"/>
        <v>0</v>
      </c>
      <c r="K28" s="76">
        <f t="shared" si="1"/>
        <v>166041</v>
      </c>
      <c r="L28" s="8">
        <f aca="true" t="shared" si="10" ref="L28:S28">L29+L30+L31+L33+L32+L34</f>
        <v>0</v>
      </c>
      <c r="M28" s="8">
        <f t="shared" si="10"/>
        <v>18585.96346</v>
      </c>
      <c r="N28" s="8">
        <f t="shared" si="10"/>
        <v>2064.44863</v>
      </c>
      <c r="O28" s="8">
        <f t="shared" si="10"/>
        <v>0</v>
      </c>
      <c r="P28" s="8">
        <f t="shared" si="10"/>
        <v>0</v>
      </c>
      <c r="Q28" s="8">
        <f t="shared" si="10"/>
        <v>0</v>
      </c>
      <c r="R28" s="8">
        <f t="shared" si="10"/>
        <v>0</v>
      </c>
      <c r="S28" s="8">
        <f t="shared" si="10"/>
        <v>0</v>
      </c>
      <c r="T28" s="128">
        <f t="shared" si="3"/>
        <v>20650.412089999998</v>
      </c>
      <c r="U28" s="127">
        <f t="shared" si="4"/>
        <v>145390.58791</v>
      </c>
    </row>
    <row r="29" spans="1:21" ht="55.5" customHeight="1">
      <c r="A29" s="31" t="s">
        <v>212</v>
      </c>
      <c r="B29" s="32" t="s">
        <v>213</v>
      </c>
      <c r="C29" s="33"/>
      <c r="D29" s="34">
        <f>15000+10842.9</f>
        <v>25842.9</v>
      </c>
      <c r="E29" s="34">
        <f>1666+692.1</f>
        <v>2358.1</v>
      </c>
      <c r="F29" s="35"/>
      <c r="G29" s="35"/>
      <c r="H29" s="35"/>
      <c r="I29" s="91"/>
      <c r="J29" s="92"/>
      <c r="K29" s="93">
        <f t="shared" si="1"/>
        <v>28201</v>
      </c>
      <c r="L29" s="34"/>
      <c r="M29" s="94">
        <f>2500+5249.22255+5249.91+1815.4403</f>
        <v>14814.57285</v>
      </c>
      <c r="N29" s="95">
        <f>277.66667+583.01365+583.09+201.6349</f>
        <v>1645.40522</v>
      </c>
      <c r="O29" s="35"/>
      <c r="P29" s="35"/>
      <c r="Q29" s="35"/>
      <c r="R29" s="91"/>
      <c r="S29" s="129"/>
      <c r="T29" s="77">
        <f t="shared" si="3"/>
        <v>16459.97807</v>
      </c>
      <c r="U29" s="130">
        <f t="shared" si="4"/>
        <v>11741.021929999999</v>
      </c>
    </row>
    <row r="30" spans="1:21" ht="64.5" customHeight="1">
      <c r="A30" s="36" t="s">
        <v>214</v>
      </c>
      <c r="B30" s="37" t="s">
        <v>215</v>
      </c>
      <c r="C30" s="11"/>
      <c r="D30" s="12">
        <f>11250+10675.4</f>
        <v>21925.4</v>
      </c>
      <c r="E30" s="12">
        <f>1250+681.4</f>
        <v>1931.4</v>
      </c>
      <c r="F30" s="38"/>
      <c r="G30" s="38"/>
      <c r="H30" s="38"/>
      <c r="I30" s="96"/>
      <c r="J30" s="97"/>
      <c r="K30" s="93">
        <f t="shared" si="1"/>
        <v>23856.800000000003</v>
      </c>
      <c r="L30" s="98"/>
      <c r="M30" s="99">
        <f>1273.04536+2498.34525</f>
        <v>3771.39061</v>
      </c>
      <c r="N30" s="100">
        <f>141.44949+277.59392</f>
        <v>419.04341</v>
      </c>
      <c r="O30" s="26"/>
      <c r="P30" s="26"/>
      <c r="Q30" s="26"/>
      <c r="R30" s="131"/>
      <c r="S30" s="132"/>
      <c r="T30" s="114">
        <f t="shared" si="3"/>
        <v>4190.43402</v>
      </c>
      <c r="U30" s="133">
        <f t="shared" si="4"/>
        <v>19666.365980000002</v>
      </c>
    </row>
    <row r="31" spans="1:21" ht="57.75" customHeight="1">
      <c r="A31" s="36" t="s">
        <v>216</v>
      </c>
      <c r="B31" s="39" t="s">
        <v>217</v>
      </c>
      <c r="C31" s="40">
        <f>47128.3</f>
        <v>47128.3</v>
      </c>
      <c r="D31" s="40">
        <f>12527.8</f>
        <v>12527.8</v>
      </c>
      <c r="E31" s="40">
        <f>6628.5</f>
        <v>6628.5</v>
      </c>
      <c r="F31" s="38"/>
      <c r="G31" s="38"/>
      <c r="H31" s="38"/>
      <c r="I31" s="96"/>
      <c r="J31" s="97"/>
      <c r="K31" s="93">
        <f t="shared" si="1"/>
        <v>66284.6</v>
      </c>
      <c r="L31" s="98"/>
      <c r="M31" s="99"/>
      <c r="N31" s="100"/>
      <c r="O31" s="26"/>
      <c r="P31" s="26"/>
      <c r="Q31" s="26"/>
      <c r="R31" s="131"/>
      <c r="S31" s="132"/>
      <c r="T31" s="114">
        <f t="shared" si="3"/>
        <v>0</v>
      </c>
      <c r="U31" s="133">
        <f t="shared" si="4"/>
        <v>66284.6</v>
      </c>
    </row>
    <row r="32" spans="1:21" ht="66" customHeight="1">
      <c r="A32" s="36" t="s">
        <v>218</v>
      </c>
      <c r="B32" s="39" t="s">
        <v>219</v>
      </c>
      <c r="C32" s="40"/>
      <c r="D32" s="40">
        <v>3233.2</v>
      </c>
      <c r="E32" s="40">
        <v>359.4</v>
      </c>
      <c r="F32" s="38"/>
      <c r="G32" s="38"/>
      <c r="H32" s="38"/>
      <c r="I32" s="96"/>
      <c r="J32" s="97"/>
      <c r="K32" s="93">
        <f t="shared" si="1"/>
        <v>3592.6</v>
      </c>
      <c r="L32" s="98"/>
      <c r="M32" s="99"/>
      <c r="N32" s="100"/>
      <c r="O32" s="26"/>
      <c r="P32" s="26"/>
      <c r="Q32" s="26"/>
      <c r="R32" s="131"/>
      <c r="S32" s="132"/>
      <c r="T32" s="114">
        <f t="shared" si="3"/>
        <v>0</v>
      </c>
      <c r="U32" s="133">
        <f t="shared" si="4"/>
        <v>3592.6</v>
      </c>
    </row>
    <row r="33" spans="1:21" ht="66" customHeight="1">
      <c r="A33" s="36" t="s">
        <v>220</v>
      </c>
      <c r="B33" s="39" t="s">
        <v>221</v>
      </c>
      <c r="C33" s="11"/>
      <c r="D33" s="12">
        <v>36000</v>
      </c>
      <c r="E33" s="12">
        <v>4000</v>
      </c>
      <c r="F33" s="38"/>
      <c r="G33" s="38"/>
      <c r="H33" s="38"/>
      <c r="I33" s="96"/>
      <c r="J33" s="97"/>
      <c r="K33" s="93">
        <f t="shared" si="1"/>
        <v>40000</v>
      </c>
      <c r="L33" s="98"/>
      <c r="M33" s="99"/>
      <c r="N33" s="100"/>
      <c r="O33" s="26"/>
      <c r="P33" s="26"/>
      <c r="Q33" s="26"/>
      <c r="R33" s="131"/>
      <c r="S33" s="134"/>
      <c r="T33" s="81">
        <f t="shared" si="3"/>
        <v>0</v>
      </c>
      <c r="U33" s="135">
        <f t="shared" si="4"/>
        <v>40000</v>
      </c>
    </row>
    <row r="34" spans="1:21" ht="66" customHeight="1">
      <c r="A34" s="36" t="s">
        <v>222</v>
      </c>
      <c r="B34" s="41" t="s">
        <v>223</v>
      </c>
      <c r="C34" s="11"/>
      <c r="D34" s="12">
        <v>3695.4</v>
      </c>
      <c r="E34" s="12">
        <v>410.6</v>
      </c>
      <c r="F34" s="38"/>
      <c r="G34" s="38"/>
      <c r="H34" s="38"/>
      <c r="I34" s="96"/>
      <c r="J34" s="97"/>
      <c r="K34" s="93">
        <f t="shared" si="1"/>
        <v>4106</v>
      </c>
      <c r="L34" s="98"/>
      <c r="M34" s="99"/>
      <c r="N34" s="100"/>
      <c r="O34" s="26"/>
      <c r="P34" s="26"/>
      <c r="Q34" s="26"/>
      <c r="R34" s="131"/>
      <c r="S34" s="134"/>
      <c r="T34" s="81">
        <f t="shared" si="3"/>
        <v>0</v>
      </c>
      <c r="U34" s="135">
        <f t="shared" si="4"/>
        <v>4106</v>
      </c>
    </row>
    <row r="35" spans="1:21" ht="30" customHeight="1">
      <c r="A35" s="6" t="s">
        <v>224</v>
      </c>
      <c r="B35" s="7" t="s">
        <v>225</v>
      </c>
      <c r="C35" s="8">
        <f aca="true" t="shared" si="11" ref="C35:S35">C36+C38+C37</f>
        <v>0</v>
      </c>
      <c r="D35" s="8">
        <f t="shared" si="11"/>
        <v>59623.6</v>
      </c>
      <c r="E35" s="8">
        <f t="shared" si="11"/>
        <v>8269.4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76">
        <f t="shared" si="11"/>
        <v>67893</v>
      </c>
      <c r="L35" s="8">
        <f t="shared" si="11"/>
        <v>0</v>
      </c>
      <c r="M35" s="8">
        <f t="shared" si="11"/>
        <v>47482.48587</v>
      </c>
      <c r="N35" s="8">
        <f t="shared" si="11"/>
        <v>5275.323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0</v>
      </c>
      <c r="S35" s="8">
        <f t="shared" si="11"/>
        <v>0</v>
      </c>
      <c r="T35" s="76">
        <f t="shared" si="3"/>
        <v>52757.80886999999</v>
      </c>
      <c r="U35" s="29">
        <f t="shared" si="4"/>
        <v>15135.191130000007</v>
      </c>
    </row>
    <row r="36" spans="1:21" ht="69" customHeight="1">
      <c r="A36" s="31" t="s">
        <v>226</v>
      </c>
      <c r="B36" s="32" t="s">
        <v>227</v>
      </c>
      <c r="C36" s="33"/>
      <c r="D36" s="34">
        <f>37750+19623.6</f>
        <v>57373.6</v>
      </c>
      <c r="E36" s="42">
        <f>4194+2180.4</f>
        <v>6374.4</v>
      </c>
      <c r="F36" s="35"/>
      <c r="G36" s="35"/>
      <c r="H36" s="35"/>
      <c r="I36" s="91"/>
      <c r="J36" s="92"/>
      <c r="K36" s="77">
        <f>SUM(C36:J36)</f>
        <v>63748</v>
      </c>
      <c r="L36" s="34"/>
      <c r="M36" s="94">
        <f>15000+20000+10000+2482.48587</f>
        <v>47482.48587</v>
      </c>
      <c r="N36" s="95">
        <f>1666.49007+2221.98675+1111.03365+275.81253</f>
        <v>5275.323</v>
      </c>
      <c r="O36" s="35"/>
      <c r="P36" s="35"/>
      <c r="Q36" s="35"/>
      <c r="R36" s="91"/>
      <c r="S36" s="129"/>
      <c r="T36" s="107">
        <f t="shared" si="3"/>
        <v>52757.80886999999</v>
      </c>
      <c r="U36" s="136">
        <f t="shared" si="4"/>
        <v>10990.191130000007</v>
      </c>
    </row>
    <row r="37" spans="1:21" ht="69" customHeight="1">
      <c r="A37" s="43" t="s">
        <v>228</v>
      </c>
      <c r="B37" s="44" t="s">
        <v>229</v>
      </c>
      <c r="C37" s="45"/>
      <c r="D37" s="46"/>
      <c r="E37" s="47">
        <v>1645</v>
      </c>
      <c r="F37" s="48"/>
      <c r="G37" s="48"/>
      <c r="H37" s="48"/>
      <c r="I37" s="101"/>
      <c r="J37" s="102"/>
      <c r="K37" s="103">
        <v>1645</v>
      </c>
      <c r="L37" s="46"/>
      <c r="M37" s="104"/>
      <c r="N37" s="104"/>
      <c r="O37" s="48"/>
      <c r="P37" s="48"/>
      <c r="Q37" s="48"/>
      <c r="R37" s="101"/>
      <c r="S37" s="102"/>
      <c r="T37" s="103">
        <v>0</v>
      </c>
      <c r="U37" s="137">
        <v>1645</v>
      </c>
    </row>
    <row r="38" spans="1:21" ht="82.5" customHeight="1">
      <c r="A38" s="43" t="s">
        <v>230</v>
      </c>
      <c r="B38" s="44" t="s">
        <v>0</v>
      </c>
      <c r="C38" s="45"/>
      <c r="D38" s="46">
        <v>2250</v>
      </c>
      <c r="E38" s="47">
        <v>250</v>
      </c>
      <c r="F38" s="48"/>
      <c r="G38" s="48"/>
      <c r="H38" s="48"/>
      <c r="I38" s="101"/>
      <c r="J38" s="102"/>
      <c r="K38" s="103">
        <v>2500</v>
      </c>
      <c r="L38" s="46"/>
      <c r="M38" s="104"/>
      <c r="N38" s="104"/>
      <c r="O38" s="48"/>
      <c r="P38" s="48"/>
      <c r="Q38" s="48"/>
      <c r="R38" s="101"/>
      <c r="S38" s="102"/>
      <c r="T38" s="103">
        <v>0</v>
      </c>
      <c r="U38" s="137">
        <v>2500</v>
      </c>
    </row>
    <row r="39" spans="1:21" ht="33.75" customHeight="1">
      <c r="A39" s="6" t="s">
        <v>1</v>
      </c>
      <c r="B39" s="7" t="s">
        <v>2</v>
      </c>
      <c r="C39" s="8">
        <f>C40+C41</f>
        <v>0</v>
      </c>
      <c r="D39" s="8">
        <f aca="true" t="shared" si="12" ref="D39:J39">D40+D41</f>
        <v>22902.4</v>
      </c>
      <c r="E39" s="8">
        <f t="shared" si="12"/>
        <v>1698.7</v>
      </c>
      <c r="F39" s="8">
        <f t="shared" si="12"/>
        <v>0</v>
      </c>
      <c r="G39" s="8">
        <f t="shared" si="12"/>
        <v>0</v>
      </c>
      <c r="H39" s="8">
        <f t="shared" si="12"/>
        <v>0</v>
      </c>
      <c r="I39" s="8">
        <f t="shared" si="12"/>
        <v>0</v>
      </c>
      <c r="J39" s="8">
        <f t="shared" si="12"/>
        <v>0</v>
      </c>
      <c r="K39" s="76">
        <f>SUM(C39:J39)</f>
        <v>24601.100000000002</v>
      </c>
      <c r="L39" s="8">
        <f aca="true" t="shared" si="13" ref="L39:S39">L40</f>
        <v>0</v>
      </c>
      <c r="M39" s="8">
        <f t="shared" si="13"/>
        <v>2722.34612</v>
      </c>
      <c r="N39" s="8">
        <f t="shared" si="13"/>
        <v>302.72488</v>
      </c>
      <c r="O39" s="8">
        <f t="shared" si="13"/>
        <v>0</v>
      </c>
      <c r="P39" s="8">
        <f t="shared" si="13"/>
        <v>0</v>
      </c>
      <c r="Q39" s="8">
        <f t="shared" si="13"/>
        <v>0</v>
      </c>
      <c r="R39" s="8">
        <f t="shared" si="13"/>
        <v>0</v>
      </c>
      <c r="S39" s="28">
        <f t="shared" si="13"/>
        <v>0</v>
      </c>
      <c r="T39" s="76">
        <f>SUM(L39:S39)</f>
        <v>3025.071</v>
      </c>
      <c r="U39" s="29">
        <f>K39-T39</f>
        <v>21576.029000000002</v>
      </c>
    </row>
    <row r="40" spans="1:21" ht="69" customHeight="1">
      <c r="A40" s="49" t="s">
        <v>3</v>
      </c>
      <c r="B40" s="50" t="s">
        <v>4</v>
      </c>
      <c r="C40" s="51"/>
      <c r="D40" s="52">
        <v>5000</v>
      </c>
      <c r="E40" s="53">
        <v>556</v>
      </c>
      <c r="F40" s="54"/>
      <c r="G40" s="54"/>
      <c r="H40" s="54"/>
      <c r="I40" s="105"/>
      <c r="J40" s="106"/>
      <c r="K40" s="107">
        <f>SUM(C40:J40)</f>
        <v>5556</v>
      </c>
      <c r="L40" s="52"/>
      <c r="M40" s="108">
        <f>1999.92981+722.41631</f>
        <v>2722.34612</v>
      </c>
      <c r="N40" s="109">
        <f>222.39219+80.33269</f>
        <v>302.72488</v>
      </c>
      <c r="O40" s="54"/>
      <c r="P40" s="54"/>
      <c r="Q40" s="54"/>
      <c r="R40" s="105"/>
      <c r="S40" s="138"/>
      <c r="T40" s="107">
        <f>SUM(L40:S40)</f>
        <v>3025.071</v>
      </c>
      <c r="U40" s="136">
        <f>K40-T40</f>
        <v>2530.929</v>
      </c>
    </row>
    <row r="41" spans="1:21" ht="69" customHeight="1">
      <c r="A41" s="55" t="s">
        <v>5</v>
      </c>
      <c r="B41" s="56" t="s">
        <v>6</v>
      </c>
      <c r="C41" s="23"/>
      <c r="D41" s="20">
        <v>17902.4</v>
      </c>
      <c r="E41" s="57">
        <v>1142.7</v>
      </c>
      <c r="F41" s="24"/>
      <c r="G41" s="24"/>
      <c r="H41" s="24"/>
      <c r="I41" s="110"/>
      <c r="J41" s="111"/>
      <c r="K41" s="81">
        <f>SUM(C41:J41)</f>
        <v>19045.100000000002</v>
      </c>
      <c r="L41" s="20"/>
      <c r="M41" s="112"/>
      <c r="N41" s="112"/>
      <c r="O41" s="24"/>
      <c r="P41" s="24"/>
      <c r="Q41" s="24"/>
      <c r="R41" s="110"/>
      <c r="S41" s="111"/>
      <c r="T41" s="81">
        <f>SUM(L41:S41)</f>
        <v>0</v>
      </c>
      <c r="U41" s="135">
        <f>K41-T41</f>
        <v>19045.100000000002</v>
      </c>
    </row>
    <row r="42" spans="1:21" ht="27" customHeight="1">
      <c r="A42" s="6" t="s">
        <v>7</v>
      </c>
      <c r="B42" s="7" t="s">
        <v>8</v>
      </c>
      <c r="C42" s="8">
        <f aca="true" t="shared" si="14" ref="C42:J42">SUM(C43:C76)</f>
        <v>0</v>
      </c>
      <c r="D42" s="8">
        <f t="shared" si="14"/>
        <v>0</v>
      </c>
      <c r="E42" s="8">
        <f t="shared" si="14"/>
        <v>11945.392229999998</v>
      </c>
      <c r="F42" s="8">
        <f t="shared" si="14"/>
        <v>0</v>
      </c>
      <c r="G42" s="8">
        <f t="shared" si="14"/>
        <v>0</v>
      </c>
      <c r="H42" s="8">
        <f t="shared" si="14"/>
        <v>0</v>
      </c>
      <c r="I42" s="8">
        <f t="shared" si="14"/>
        <v>0</v>
      </c>
      <c r="J42" s="8">
        <f t="shared" si="14"/>
        <v>0</v>
      </c>
      <c r="K42" s="76">
        <f aca="true" t="shared" si="15" ref="K42:K78">SUM(C42:J42)</f>
        <v>11945.392229999998</v>
      </c>
      <c r="L42" s="8">
        <f aca="true" t="shared" si="16" ref="L42:S42">SUM(L43:L76)</f>
        <v>0</v>
      </c>
      <c r="M42" s="8">
        <f t="shared" si="16"/>
        <v>0</v>
      </c>
      <c r="N42" s="8">
        <f t="shared" si="16"/>
        <v>2262.2053099999994</v>
      </c>
      <c r="O42" s="8">
        <f t="shared" si="16"/>
        <v>0</v>
      </c>
      <c r="P42" s="8">
        <f t="shared" si="16"/>
        <v>0</v>
      </c>
      <c r="Q42" s="8">
        <f t="shared" si="16"/>
        <v>0</v>
      </c>
      <c r="R42" s="8">
        <f t="shared" si="16"/>
        <v>0</v>
      </c>
      <c r="S42" s="8">
        <f t="shared" si="16"/>
        <v>0</v>
      </c>
      <c r="T42" s="76">
        <f aca="true" t="shared" si="17" ref="T42:T102">SUM(L42:S42)</f>
        <v>2262.2053099999994</v>
      </c>
      <c r="U42" s="29">
        <f aca="true" t="shared" si="18" ref="U42:U102">K42-T42</f>
        <v>9683.186919999998</v>
      </c>
    </row>
    <row r="43" spans="1:21" ht="54" customHeight="1">
      <c r="A43" s="58" t="s">
        <v>9</v>
      </c>
      <c r="B43" s="59" t="s">
        <v>10</v>
      </c>
      <c r="C43" s="25"/>
      <c r="D43" s="26"/>
      <c r="E43" s="26">
        <v>38</v>
      </c>
      <c r="F43" s="26"/>
      <c r="G43" s="60"/>
      <c r="H43" s="61"/>
      <c r="I43" s="26"/>
      <c r="J43" s="113"/>
      <c r="K43" s="114">
        <f t="shared" si="15"/>
        <v>38</v>
      </c>
      <c r="L43" s="34"/>
      <c r="M43" s="94"/>
      <c r="N43" s="95"/>
      <c r="O43" s="35"/>
      <c r="P43" s="35"/>
      <c r="Q43" s="35"/>
      <c r="R43" s="91"/>
      <c r="S43" s="129"/>
      <c r="T43" s="77">
        <f t="shared" si="17"/>
        <v>0</v>
      </c>
      <c r="U43" s="130">
        <f t="shared" si="18"/>
        <v>38</v>
      </c>
    </row>
    <row r="44" spans="1:21" ht="54" customHeight="1">
      <c r="A44" s="58" t="s">
        <v>11</v>
      </c>
      <c r="B44" s="59" t="s">
        <v>12</v>
      </c>
      <c r="C44" s="25"/>
      <c r="D44" s="26"/>
      <c r="E44" s="26">
        <v>7</v>
      </c>
      <c r="F44" s="26"/>
      <c r="G44" s="60"/>
      <c r="H44" s="61"/>
      <c r="I44" s="26"/>
      <c r="J44" s="113"/>
      <c r="K44" s="114">
        <f t="shared" si="15"/>
        <v>7</v>
      </c>
      <c r="L44" s="98"/>
      <c r="M44" s="99"/>
      <c r="N44" s="100"/>
      <c r="O44" s="26"/>
      <c r="P44" s="26"/>
      <c r="Q44" s="26"/>
      <c r="R44" s="131"/>
      <c r="S44" s="132"/>
      <c r="T44" s="114">
        <f t="shared" si="17"/>
        <v>0</v>
      </c>
      <c r="U44" s="133">
        <f t="shared" si="18"/>
        <v>7</v>
      </c>
    </row>
    <row r="45" spans="1:21" ht="58.5" customHeight="1">
      <c r="A45" s="58" t="s">
        <v>13</v>
      </c>
      <c r="B45" s="62" t="s">
        <v>14</v>
      </c>
      <c r="C45" s="25"/>
      <c r="D45" s="26"/>
      <c r="E45" s="26">
        <v>298.75034</v>
      </c>
      <c r="F45" s="26"/>
      <c r="G45" s="60"/>
      <c r="H45" s="61"/>
      <c r="I45" s="26"/>
      <c r="J45" s="113"/>
      <c r="K45" s="114">
        <f t="shared" si="15"/>
        <v>298.75034</v>
      </c>
      <c r="L45" s="98"/>
      <c r="M45" s="99"/>
      <c r="N45" s="100">
        <v>298.75034</v>
      </c>
      <c r="O45" s="26"/>
      <c r="P45" s="26"/>
      <c r="Q45" s="26"/>
      <c r="R45" s="131"/>
      <c r="S45" s="132"/>
      <c r="T45" s="114">
        <f t="shared" si="17"/>
        <v>298.75034</v>
      </c>
      <c r="U45" s="133">
        <f t="shared" si="18"/>
        <v>0</v>
      </c>
    </row>
    <row r="46" spans="1:21" ht="60" customHeight="1">
      <c r="A46" s="58" t="s">
        <v>15</v>
      </c>
      <c r="B46" s="62" t="s">
        <v>16</v>
      </c>
      <c r="C46" s="25"/>
      <c r="D46" s="26"/>
      <c r="E46" s="26">
        <v>254.93051</v>
      </c>
      <c r="F46" s="26"/>
      <c r="G46" s="60"/>
      <c r="H46" s="61"/>
      <c r="I46" s="26"/>
      <c r="J46" s="113"/>
      <c r="K46" s="114">
        <f t="shared" si="15"/>
        <v>254.93051</v>
      </c>
      <c r="L46" s="98"/>
      <c r="M46" s="99"/>
      <c r="N46" s="100">
        <v>254.93051</v>
      </c>
      <c r="O46" s="26"/>
      <c r="P46" s="26"/>
      <c r="Q46" s="26"/>
      <c r="R46" s="131"/>
      <c r="S46" s="132"/>
      <c r="T46" s="114">
        <f t="shared" si="17"/>
        <v>254.93051</v>
      </c>
      <c r="U46" s="133">
        <f t="shared" si="18"/>
        <v>0</v>
      </c>
    </row>
    <row r="47" spans="1:21" ht="66" customHeight="1">
      <c r="A47" s="58" t="s">
        <v>17</v>
      </c>
      <c r="B47" s="63" t="s">
        <v>18</v>
      </c>
      <c r="C47" s="64"/>
      <c r="D47" s="65"/>
      <c r="E47" s="65">
        <f>266+168</f>
        <v>434</v>
      </c>
      <c r="F47" s="65"/>
      <c r="G47" s="66"/>
      <c r="H47" s="67"/>
      <c r="I47" s="65"/>
      <c r="J47" s="115"/>
      <c r="K47" s="81">
        <f t="shared" si="15"/>
        <v>434</v>
      </c>
      <c r="L47" s="116"/>
      <c r="M47" s="117"/>
      <c r="N47" s="118">
        <v>264</v>
      </c>
      <c r="O47" s="119"/>
      <c r="P47" s="119"/>
      <c r="Q47" s="119"/>
      <c r="R47" s="139"/>
      <c r="S47" s="134"/>
      <c r="T47" s="81">
        <f t="shared" si="17"/>
        <v>264</v>
      </c>
      <c r="U47" s="135">
        <f t="shared" si="18"/>
        <v>170</v>
      </c>
    </row>
    <row r="48" spans="1:21" ht="66" customHeight="1">
      <c r="A48" s="58" t="s">
        <v>19</v>
      </c>
      <c r="B48" s="59" t="s">
        <v>20</v>
      </c>
      <c r="C48" s="23"/>
      <c r="D48" s="24"/>
      <c r="E48" s="24">
        <f>1900-4.16667-66.5696-59.61395-3.5-15</f>
        <v>1751.14978</v>
      </c>
      <c r="F48" s="24"/>
      <c r="G48" s="68"/>
      <c r="H48" s="69"/>
      <c r="I48" s="24"/>
      <c r="J48" s="120"/>
      <c r="K48" s="81">
        <f t="shared" si="15"/>
        <v>1751.14978</v>
      </c>
      <c r="L48" s="98"/>
      <c r="M48" s="99"/>
      <c r="N48" s="121">
        <v>520.01154</v>
      </c>
      <c r="O48" s="26"/>
      <c r="P48" s="26"/>
      <c r="Q48" s="26"/>
      <c r="R48" s="131"/>
      <c r="S48" s="132"/>
      <c r="T48" s="114">
        <f t="shared" si="17"/>
        <v>520.01154</v>
      </c>
      <c r="U48" s="133">
        <f t="shared" si="18"/>
        <v>1231.13824</v>
      </c>
    </row>
    <row r="49" spans="1:21" ht="81.75" customHeight="1">
      <c r="A49" s="58" t="s">
        <v>21</v>
      </c>
      <c r="B49" s="59" t="s">
        <v>22</v>
      </c>
      <c r="C49" s="23"/>
      <c r="D49" s="24"/>
      <c r="E49" s="24">
        <f>880-179.18-56.11176-20-97.6012-4.16667-78.6</f>
        <v>444.3403699999999</v>
      </c>
      <c r="F49" s="24"/>
      <c r="G49" s="68"/>
      <c r="H49" s="69"/>
      <c r="I49" s="24"/>
      <c r="J49" s="120"/>
      <c r="K49" s="81">
        <f t="shared" si="15"/>
        <v>444.3403699999999</v>
      </c>
      <c r="L49" s="98"/>
      <c r="M49" s="99"/>
      <c r="N49" s="121"/>
      <c r="O49" s="26"/>
      <c r="P49" s="26"/>
      <c r="Q49" s="26"/>
      <c r="R49" s="131"/>
      <c r="S49" s="132"/>
      <c r="T49" s="114">
        <f t="shared" si="17"/>
        <v>0</v>
      </c>
      <c r="U49" s="133">
        <f t="shared" si="18"/>
        <v>444.3403699999999</v>
      </c>
    </row>
    <row r="50" spans="1:21" ht="69.75" customHeight="1">
      <c r="A50" s="70" t="s">
        <v>23</v>
      </c>
      <c r="B50" s="71" t="s">
        <v>24</v>
      </c>
      <c r="C50" s="23"/>
      <c r="D50" s="24"/>
      <c r="E50" s="24">
        <f>258.4-52.16667-147.89995</f>
        <v>58.33337999999998</v>
      </c>
      <c r="F50" s="24"/>
      <c r="G50" s="68"/>
      <c r="H50" s="69"/>
      <c r="I50" s="24"/>
      <c r="J50" s="120"/>
      <c r="K50" s="81">
        <f t="shared" si="15"/>
        <v>58.33337999999998</v>
      </c>
      <c r="L50" s="116"/>
      <c r="M50" s="117"/>
      <c r="N50" s="118">
        <v>40.83336</v>
      </c>
      <c r="O50" s="119"/>
      <c r="P50" s="119"/>
      <c r="Q50" s="119"/>
      <c r="R50" s="139"/>
      <c r="S50" s="134"/>
      <c r="T50" s="81">
        <f t="shared" si="17"/>
        <v>40.83336</v>
      </c>
      <c r="U50" s="135">
        <f t="shared" si="18"/>
        <v>17.500019999999978</v>
      </c>
    </row>
    <row r="51" spans="1:21" ht="82.5" customHeight="1">
      <c r="A51" s="70" t="s">
        <v>25</v>
      </c>
      <c r="B51" s="71" t="s">
        <v>26</v>
      </c>
      <c r="C51" s="23"/>
      <c r="D51" s="24"/>
      <c r="E51" s="24">
        <f>30-24</f>
        <v>6</v>
      </c>
      <c r="F51" s="24"/>
      <c r="G51" s="68"/>
      <c r="H51" s="69"/>
      <c r="I51" s="69"/>
      <c r="J51" s="120"/>
      <c r="K51" s="81">
        <f t="shared" si="15"/>
        <v>6</v>
      </c>
      <c r="L51" s="116"/>
      <c r="M51" s="117"/>
      <c r="N51" s="118">
        <v>1.25</v>
      </c>
      <c r="O51" s="119"/>
      <c r="P51" s="119"/>
      <c r="Q51" s="119"/>
      <c r="R51" s="139"/>
      <c r="S51" s="134"/>
      <c r="T51" s="81">
        <f t="shared" si="17"/>
        <v>1.25</v>
      </c>
      <c r="U51" s="135">
        <f t="shared" si="18"/>
        <v>4.75</v>
      </c>
    </row>
    <row r="52" spans="1:21" ht="82.5" customHeight="1">
      <c r="A52" s="70" t="s">
        <v>27</v>
      </c>
      <c r="B52" s="71" t="s">
        <v>28</v>
      </c>
      <c r="C52" s="23"/>
      <c r="D52" s="24"/>
      <c r="E52" s="24">
        <f>30-24</f>
        <v>6</v>
      </c>
      <c r="F52" s="24"/>
      <c r="G52" s="68"/>
      <c r="H52" s="69"/>
      <c r="I52" s="24"/>
      <c r="J52" s="120"/>
      <c r="K52" s="81">
        <f t="shared" si="15"/>
        <v>6</v>
      </c>
      <c r="L52" s="116"/>
      <c r="M52" s="117"/>
      <c r="N52" s="122"/>
      <c r="O52" s="119"/>
      <c r="P52" s="119"/>
      <c r="Q52" s="119"/>
      <c r="R52" s="139"/>
      <c r="S52" s="134"/>
      <c r="T52" s="81">
        <f t="shared" si="17"/>
        <v>0</v>
      </c>
      <c r="U52" s="135">
        <f t="shared" si="18"/>
        <v>6</v>
      </c>
    </row>
    <row r="53" spans="1:21" ht="141" customHeight="1">
      <c r="A53" s="70" t="s">
        <v>29</v>
      </c>
      <c r="B53" s="71" t="s">
        <v>30</v>
      </c>
      <c r="C53" s="23"/>
      <c r="D53" s="24"/>
      <c r="E53" s="24">
        <f>30+15</f>
        <v>45</v>
      </c>
      <c r="F53" s="24"/>
      <c r="G53" s="68"/>
      <c r="H53" s="69"/>
      <c r="I53" s="24"/>
      <c r="J53" s="120"/>
      <c r="K53" s="81">
        <f t="shared" si="15"/>
        <v>45</v>
      </c>
      <c r="L53" s="116"/>
      <c r="M53" s="117"/>
      <c r="N53" s="122"/>
      <c r="O53" s="119"/>
      <c r="P53" s="119"/>
      <c r="Q53" s="119"/>
      <c r="R53" s="139"/>
      <c r="S53" s="134"/>
      <c r="T53" s="81">
        <f t="shared" si="17"/>
        <v>0</v>
      </c>
      <c r="U53" s="135">
        <f t="shared" si="18"/>
        <v>45</v>
      </c>
    </row>
    <row r="54" spans="1:21" ht="81" customHeight="1">
      <c r="A54" s="70" t="s">
        <v>31</v>
      </c>
      <c r="B54" s="71" t="s">
        <v>32</v>
      </c>
      <c r="C54" s="23"/>
      <c r="D54" s="24"/>
      <c r="E54" s="24">
        <v>50</v>
      </c>
      <c r="F54" s="24"/>
      <c r="G54" s="68"/>
      <c r="H54" s="69"/>
      <c r="I54" s="24"/>
      <c r="J54" s="120"/>
      <c r="K54" s="81">
        <f t="shared" si="15"/>
        <v>50</v>
      </c>
      <c r="L54" s="116"/>
      <c r="M54" s="117"/>
      <c r="N54" s="118">
        <v>8.00469</v>
      </c>
      <c r="O54" s="119"/>
      <c r="P54" s="119"/>
      <c r="Q54" s="119"/>
      <c r="R54" s="139"/>
      <c r="S54" s="134"/>
      <c r="T54" s="81">
        <f t="shared" si="17"/>
        <v>8.00469</v>
      </c>
      <c r="U54" s="135">
        <f t="shared" si="18"/>
        <v>41.99531</v>
      </c>
    </row>
    <row r="55" spans="1:21" ht="108" customHeight="1">
      <c r="A55" s="70" t="s">
        <v>33</v>
      </c>
      <c r="B55" s="71" t="s">
        <v>34</v>
      </c>
      <c r="C55" s="23"/>
      <c r="D55" s="24"/>
      <c r="E55" s="24">
        <v>157.89686</v>
      </c>
      <c r="F55" s="24"/>
      <c r="G55" s="68"/>
      <c r="H55" s="69"/>
      <c r="I55" s="24"/>
      <c r="J55" s="120"/>
      <c r="K55" s="81">
        <f t="shared" si="15"/>
        <v>157.89686</v>
      </c>
      <c r="L55" s="116"/>
      <c r="M55" s="117"/>
      <c r="N55" s="122">
        <f>75.936+57.04793+24.91293</f>
        <v>157.89686</v>
      </c>
      <c r="O55" s="119"/>
      <c r="P55" s="119"/>
      <c r="Q55" s="119"/>
      <c r="R55" s="139"/>
      <c r="S55" s="134"/>
      <c r="T55" s="81">
        <f t="shared" si="17"/>
        <v>157.89686</v>
      </c>
      <c r="U55" s="135">
        <f t="shared" si="18"/>
        <v>0</v>
      </c>
    </row>
    <row r="56" spans="1:21" ht="93.75" customHeight="1">
      <c r="A56" s="70" t="s">
        <v>35</v>
      </c>
      <c r="B56" s="72" t="s">
        <v>36</v>
      </c>
      <c r="C56" s="23"/>
      <c r="D56" s="24"/>
      <c r="E56" s="24">
        <v>13.93393</v>
      </c>
      <c r="F56" s="24"/>
      <c r="G56" s="68"/>
      <c r="H56" s="69"/>
      <c r="I56" s="24"/>
      <c r="J56" s="120"/>
      <c r="K56" s="81">
        <f t="shared" si="15"/>
        <v>13.93393</v>
      </c>
      <c r="L56" s="116"/>
      <c r="M56" s="117"/>
      <c r="N56" s="118">
        <v>13.93393</v>
      </c>
      <c r="O56" s="119"/>
      <c r="P56" s="119"/>
      <c r="Q56" s="119"/>
      <c r="R56" s="139"/>
      <c r="S56" s="134"/>
      <c r="T56" s="81">
        <f t="shared" si="17"/>
        <v>13.93393</v>
      </c>
      <c r="U56" s="135">
        <f t="shared" si="18"/>
        <v>0</v>
      </c>
    </row>
    <row r="57" spans="1:21" ht="106.5" customHeight="1">
      <c r="A57" s="70" t="s">
        <v>37</v>
      </c>
      <c r="B57" s="73" t="s">
        <v>38</v>
      </c>
      <c r="C57" s="25"/>
      <c r="D57" s="26"/>
      <c r="E57" s="26">
        <v>31.39129</v>
      </c>
      <c r="F57" s="24"/>
      <c r="G57" s="68"/>
      <c r="H57" s="69"/>
      <c r="I57" s="24"/>
      <c r="J57" s="120"/>
      <c r="K57" s="81">
        <f t="shared" si="15"/>
        <v>31.39129</v>
      </c>
      <c r="L57" s="116"/>
      <c r="M57" s="117"/>
      <c r="N57" s="121">
        <v>31.39129</v>
      </c>
      <c r="O57" s="119"/>
      <c r="P57" s="119"/>
      <c r="Q57" s="119"/>
      <c r="R57" s="139"/>
      <c r="S57" s="134"/>
      <c r="T57" s="81">
        <f t="shared" si="17"/>
        <v>31.39129</v>
      </c>
      <c r="U57" s="135">
        <f t="shared" si="18"/>
        <v>0</v>
      </c>
    </row>
    <row r="58" spans="1:21" ht="82.5" customHeight="1">
      <c r="A58" s="70" t="s">
        <v>39</v>
      </c>
      <c r="B58" s="74" t="s">
        <v>40</v>
      </c>
      <c r="C58" s="23"/>
      <c r="D58" s="24"/>
      <c r="E58" s="24">
        <v>197</v>
      </c>
      <c r="F58" s="24"/>
      <c r="G58" s="68"/>
      <c r="H58" s="69"/>
      <c r="I58" s="24"/>
      <c r="J58" s="120"/>
      <c r="K58" s="81">
        <f t="shared" si="15"/>
        <v>197</v>
      </c>
      <c r="L58" s="116"/>
      <c r="M58" s="117"/>
      <c r="N58" s="122">
        <v>197</v>
      </c>
      <c r="O58" s="119"/>
      <c r="P58" s="119"/>
      <c r="Q58" s="119"/>
      <c r="R58" s="139"/>
      <c r="S58" s="134"/>
      <c r="T58" s="81">
        <f t="shared" si="17"/>
        <v>197</v>
      </c>
      <c r="U58" s="135">
        <f t="shared" si="18"/>
        <v>0</v>
      </c>
    </row>
    <row r="59" spans="1:21" ht="93" customHeight="1">
      <c r="A59" s="70" t="s">
        <v>41</v>
      </c>
      <c r="B59" s="71" t="s">
        <v>42</v>
      </c>
      <c r="C59" s="23"/>
      <c r="D59" s="24"/>
      <c r="E59" s="24">
        <f>295.3693-101.4304</f>
        <v>193.9389</v>
      </c>
      <c r="F59" s="24"/>
      <c r="G59" s="68"/>
      <c r="H59" s="69"/>
      <c r="I59" s="24"/>
      <c r="J59" s="120"/>
      <c r="K59" s="81">
        <f t="shared" si="15"/>
        <v>193.9389</v>
      </c>
      <c r="L59" s="116"/>
      <c r="M59" s="117"/>
      <c r="N59" s="123">
        <f>295.3693-101.4304</f>
        <v>193.9389</v>
      </c>
      <c r="O59" s="119"/>
      <c r="P59" s="119"/>
      <c r="Q59" s="119"/>
      <c r="R59" s="139"/>
      <c r="S59" s="134"/>
      <c r="T59" s="81">
        <f t="shared" si="17"/>
        <v>193.9389</v>
      </c>
      <c r="U59" s="135">
        <f t="shared" si="18"/>
        <v>0</v>
      </c>
    </row>
    <row r="60" spans="1:21" ht="81" customHeight="1">
      <c r="A60" s="70" t="s">
        <v>43</v>
      </c>
      <c r="B60" s="74" t="s">
        <v>44</v>
      </c>
      <c r="C60" s="23"/>
      <c r="D60" s="24"/>
      <c r="E60" s="24">
        <v>2500</v>
      </c>
      <c r="F60" s="24"/>
      <c r="G60" s="68"/>
      <c r="H60" s="69"/>
      <c r="I60" s="24"/>
      <c r="J60" s="120"/>
      <c r="K60" s="81">
        <f t="shared" si="15"/>
        <v>2500</v>
      </c>
      <c r="L60" s="116"/>
      <c r="M60" s="117"/>
      <c r="N60" s="122"/>
      <c r="O60" s="119"/>
      <c r="P60" s="119"/>
      <c r="Q60" s="119"/>
      <c r="R60" s="139"/>
      <c r="S60" s="134"/>
      <c r="T60" s="81">
        <f t="shared" si="17"/>
        <v>0</v>
      </c>
      <c r="U60" s="135">
        <f t="shared" si="18"/>
        <v>2500</v>
      </c>
    </row>
    <row r="61" spans="1:21" ht="81.75" customHeight="1">
      <c r="A61" s="70" t="s">
        <v>45</v>
      </c>
      <c r="B61" s="75" t="s">
        <v>46</v>
      </c>
      <c r="C61" s="23"/>
      <c r="D61" s="24"/>
      <c r="E61" s="24">
        <v>144</v>
      </c>
      <c r="F61" s="24"/>
      <c r="G61" s="68"/>
      <c r="H61" s="69"/>
      <c r="I61" s="24"/>
      <c r="J61" s="120"/>
      <c r="K61" s="81">
        <f t="shared" si="15"/>
        <v>144</v>
      </c>
      <c r="L61" s="116"/>
      <c r="M61" s="117"/>
      <c r="N61" s="118">
        <v>144</v>
      </c>
      <c r="O61" s="119"/>
      <c r="P61" s="119"/>
      <c r="Q61" s="119"/>
      <c r="R61" s="139"/>
      <c r="S61" s="134"/>
      <c r="T61" s="81">
        <f t="shared" si="17"/>
        <v>144</v>
      </c>
      <c r="U61" s="135">
        <f t="shared" si="18"/>
        <v>0</v>
      </c>
    </row>
    <row r="62" spans="1:21" ht="82.5" customHeight="1">
      <c r="A62" s="70" t="s">
        <v>47</v>
      </c>
      <c r="B62" s="75" t="s">
        <v>48</v>
      </c>
      <c r="C62" s="23"/>
      <c r="D62" s="24"/>
      <c r="E62" s="24">
        <v>4.16667</v>
      </c>
      <c r="F62" s="24"/>
      <c r="G62" s="68"/>
      <c r="H62" s="69"/>
      <c r="I62" s="24"/>
      <c r="J62" s="120"/>
      <c r="K62" s="81">
        <f t="shared" si="15"/>
        <v>4.16667</v>
      </c>
      <c r="L62" s="116"/>
      <c r="M62" s="117"/>
      <c r="N62" s="118">
        <v>1.25</v>
      </c>
      <c r="O62" s="119"/>
      <c r="P62" s="119"/>
      <c r="Q62" s="119"/>
      <c r="R62" s="139"/>
      <c r="S62" s="134"/>
      <c r="T62" s="81">
        <f t="shared" si="17"/>
        <v>1.25</v>
      </c>
      <c r="U62" s="135">
        <f t="shared" si="18"/>
        <v>2.91667</v>
      </c>
    </row>
    <row r="63" spans="1:21" ht="66.75" customHeight="1">
      <c r="A63" s="70" t="s">
        <v>49</v>
      </c>
      <c r="B63" s="75" t="s">
        <v>50</v>
      </c>
      <c r="C63" s="23"/>
      <c r="D63" s="24"/>
      <c r="E63" s="24">
        <v>24</v>
      </c>
      <c r="F63" s="24"/>
      <c r="G63" s="68"/>
      <c r="H63" s="69"/>
      <c r="I63" s="24"/>
      <c r="J63" s="120"/>
      <c r="K63" s="81">
        <f t="shared" si="15"/>
        <v>24</v>
      </c>
      <c r="L63" s="116"/>
      <c r="M63" s="117"/>
      <c r="N63" s="118">
        <v>7.2</v>
      </c>
      <c r="O63" s="119"/>
      <c r="P63" s="119"/>
      <c r="Q63" s="119"/>
      <c r="R63" s="139"/>
      <c r="S63" s="134"/>
      <c r="T63" s="81">
        <f t="shared" si="17"/>
        <v>7.2</v>
      </c>
      <c r="U63" s="135">
        <f t="shared" si="18"/>
        <v>16.8</v>
      </c>
    </row>
    <row r="64" spans="1:21" ht="69.75" customHeight="1">
      <c r="A64" s="70" t="s">
        <v>51</v>
      </c>
      <c r="B64" s="71" t="s">
        <v>52</v>
      </c>
      <c r="C64" s="23"/>
      <c r="D64" s="24"/>
      <c r="E64" s="24">
        <v>24</v>
      </c>
      <c r="F64" s="24"/>
      <c r="G64" s="68"/>
      <c r="H64" s="69"/>
      <c r="I64" s="24"/>
      <c r="J64" s="120"/>
      <c r="K64" s="81">
        <f t="shared" si="15"/>
        <v>24</v>
      </c>
      <c r="L64" s="116"/>
      <c r="M64" s="117"/>
      <c r="N64" s="118">
        <v>24</v>
      </c>
      <c r="O64" s="119"/>
      <c r="P64" s="119"/>
      <c r="Q64" s="119"/>
      <c r="R64" s="139"/>
      <c r="S64" s="134"/>
      <c r="T64" s="81">
        <f t="shared" si="17"/>
        <v>24</v>
      </c>
      <c r="U64" s="135">
        <f t="shared" si="18"/>
        <v>0</v>
      </c>
    </row>
    <row r="65" spans="1:21" ht="96" customHeight="1">
      <c r="A65" s="70" t="s">
        <v>53</v>
      </c>
      <c r="B65" s="75" t="s">
        <v>54</v>
      </c>
      <c r="C65" s="23"/>
      <c r="D65" s="24"/>
      <c r="E65" s="24">
        <v>4.16667</v>
      </c>
      <c r="F65" s="24"/>
      <c r="G65" s="68"/>
      <c r="H65" s="69"/>
      <c r="I65" s="24"/>
      <c r="J65" s="120"/>
      <c r="K65" s="81">
        <f t="shared" si="15"/>
        <v>4.16667</v>
      </c>
      <c r="L65" s="116"/>
      <c r="M65" s="117"/>
      <c r="N65" s="118">
        <v>1.25</v>
      </c>
      <c r="O65" s="119"/>
      <c r="P65" s="119"/>
      <c r="Q65" s="119"/>
      <c r="R65" s="139"/>
      <c r="S65" s="134"/>
      <c r="T65" s="81">
        <f t="shared" si="17"/>
        <v>1.25</v>
      </c>
      <c r="U65" s="135">
        <f t="shared" si="18"/>
        <v>2.91667</v>
      </c>
    </row>
    <row r="66" spans="1:21" ht="69" customHeight="1">
      <c r="A66" s="70" t="s">
        <v>55</v>
      </c>
      <c r="B66" s="75" t="s">
        <v>56</v>
      </c>
      <c r="C66" s="23"/>
      <c r="D66" s="24"/>
      <c r="E66" s="24">
        <v>24</v>
      </c>
      <c r="F66" s="24"/>
      <c r="G66" s="68"/>
      <c r="H66" s="69"/>
      <c r="I66" s="24"/>
      <c r="J66" s="120"/>
      <c r="K66" s="81">
        <f t="shared" si="15"/>
        <v>24</v>
      </c>
      <c r="L66" s="116"/>
      <c r="M66" s="117"/>
      <c r="N66" s="122">
        <v>24</v>
      </c>
      <c r="O66" s="119"/>
      <c r="P66" s="119"/>
      <c r="Q66" s="119"/>
      <c r="R66" s="139"/>
      <c r="S66" s="134"/>
      <c r="T66" s="81">
        <f t="shared" si="17"/>
        <v>24</v>
      </c>
      <c r="U66" s="135">
        <f t="shared" si="18"/>
        <v>0</v>
      </c>
    </row>
    <row r="67" spans="1:21" ht="69" customHeight="1">
      <c r="A67" s="70" t="s">
        <v>57</v>
      </c>
      <c r="B67" s="75" t="s">
        <v>58</v>
      </c>
      <c r="C67" s="23"/>
      <c r="D67" s="24"/>
      <c r="E67" s="24">
        <v>24</v>
      </c>
      <c r="F67" s="24"/>
      <c r="G67" s="68"/>
      <c r="H67" s="69"/>
      <c r="I67" s="24"/>
      <c r="J67" s="120"/>
      <c r="K67" s="81">
        <f t="shared" si="15"/>
        <v>24</v>
      </c>
      <c r="L67" s="116"/>
      <c r="M67" s="117"/>
      <c r="N67" s="122">
        <v>24</v>
      </c>
      <c r="O67" s="119"/>
      <c r="P67" s="119"/>
      <c r="Q67" s="119"/>
      <c r="R67" s="139"/>
      <c r="S67" s="134"/>
      <c r="T67" s="81">
        <f t="shared" si="17"/>
        <v>24</v>
      </c>
      <c r="U67" s="135">
        <f t="shared" si="18"/>
        <v>0</v>
      </c>
    </row>
    <row r="68" spans="1:21" ht="84" customHeight="1">
      <c r="A68" s="70" t="s">
        <v>59</v>
      </c>
      <c r="B68" s="75" t="s">
        <v>60</v>
      </c>
      <c r="C68" s="23"/>
      <c r="D68" s="24"/>
      <c r="E68" s="24">
        <v>24</v>
      </c>
      <c r="F68" s="24"/>
      <c r="G68" s="68"/>
      <c r="H68" s="69"/>
      <c r="I68" s="24"/>
      <c r="J68" s="120"/>
      <c r="K68" s="81">
        <f t="shared" si="15"/>
        <v>24</v>
      </c>
      <c r="L68" s="116"/>
      <c r="M68" s="117"/>
      <c r="N68" s="118">
        <v>7.2</v>
      </c>
      <c r="O68" s="119"/>
      <c r="P68" s="119"/>
      <c r="Q68" s="119"/>
      <c r="R68" s="139"/>
      <c r="S68" s="134"/>
      <c r="T68" s="81">
        <f t="shared" si="17"/>
        <v>7.2</v>
      </c>
      <c r="U68" s="135">
        <f t="shared" si="18"/>
        <v>16.8</v>
      </c>
    </row>
    <row r="69" spans="1:21" ht="84" customHeight="1">
      <c r="A69" s="70" t="s">
        <v>61</v>
      </c>
      <c r="B69" s="75" t="s">
        <v>62</v>
      </c>
      <c r="C69" s="23"/>
      <c r="D69" s="24"/>
      <c r="E69" s="24">
        <v>56.11176</v>
      </c>
      <c r="F69" s="24"/>
      <c r="G69" s="68"/>
      <c r="H69" s="69"/>
      <c r="I69" s="24"/>
      <c r="J69" s="120"/>
      <c r="K69" s="81">
        <f t="shared" si="15"/>
        <v>56.11176</v>
      </c>
      <c r="L69" s="116"/>
      <c r="M69" s="117"/>
      <c r="N69" s="118">
        <v>16.83353</v>
      </c>
      <c r="O69" s="119"/>
      <c r="P69" s="119"/>
      <c r="Q69" s="119"/>
      <c r="R69" s="139"/>
      <c r="S69" s="134"/>
      <c r="T69" s="81">
        <f t="shared" si="17"/>
        <v>16.83353</v>
      </c>
      <c r="U69" s="135">
        <f t="shared" si="18"/>
        <v>39.27822999999999</v>
      </c>
    </row>
    <row r="70" spans="1:21" ht="75" customHeight="1">
      <c r="A70" s="70" t="s">
        <v>63</v>
      </c>
      <c r="B70" s="75" t="s">
        <v>64</v>
      </c>
      <c r="C70" s="23"/>
      <c r="D70" s="24"/>
      <c r="E70" s="20">
        <v>20</v>
      </c>
      <c r="F70" s="24"/>
      <c r="G70" s="68"/>
      <c r="H70" s="69"/>
      <c r="I70" s="24"/>
      <c r="J70" s="120"/>
      <c r="K70" s="81">
        <f t="shared" si="15"/>
        <v>20</v>
      </c>
      <c r="L70" s="116"/>
      <c r="M70" s="117"/>
      <c r="N70" s="122"/>
      <c r="O70" s="119"/>
      <c r="P70" s="119"/>
      <c r="Q70" s="119"/>
      <c r="R70" s="139"/>
      <c r="S70" s="134"/>
      <c r="T70" s="81">
        <f t="shared" si="17"/>
        <v>0</v>
      </c>
      <c r="U70" s="135">
        <f t="shared" si="18"/>
        <v>20</v>
      </c>
    </row>
    <row r="71" spans="1:21" ht="69.75" customHeight="1">
      <c r="A71" s="70" t="s">
        <v>65</v>
      </c>
      <c r="B71" s="75" t="s">
        <v>66</v>
      </c>
      <c r="C71" s="23"/>
      <c r="D71" s="24"/>
      <c r="E71" s="20">
        <v>207.5139</v>
      </c>
      <c r="F71" s="24"/>
      <c r="G71" s="68"/>
      <c r="H71" s="69"/>
      <c r="I71" s="24"/>
      <c r="J71" s="120"/>
      <c r="K71" s="81">
        <f t="shared" si="15"/>
        <v>207.5139</v>
      </c>
      <c r="L71" s="116"/>
      <c r="M71" s="117"/>
      <c r="N71" s="122"/>
      <c r="O71" s="119"/>
      <c r="P71" s="119"/>
      <c r="Q71" s="119"/>
      <c r="R71" s="139"/>
      <c r="S71" s="134"/>
      <c r="T71" s="81">
        <f t="shared" si="17"/>
        <v>0</v>
      </c>
      <c r="U71" s="135">
        <f t="shared" si="18"/>
        <v>207.5139</v>
      </c>
    </row>
    <row r="72" spans="1:21" ht="84.75" customHeight="1">
      <c r="A72" s="70" t="s">
        <v>67</v>
      </c>
      <c r="B72" s="75" t="s">
        <v>68</v>
      </c>
      <c r="C72" s="23"/>
      <c r="D72" s="24"/>
      <c r="E72" s="20">
        <v>38.0458</v>
      </c>
      <c r="F72" s="24"/>
      <c r="G72" s="68"/>
      <c r="H72" s="69"/>
      <c r="I72" s="24"/>
      <c r="J72" s="120"/>
      <c r="K72" s="81">
        <f t="shared" si="15"/>
        <v>38.0458</v>
      </c>
      <c r="L72" s="116"/>
      <c r="M72" s="117"/>
      <c r="N72" s="122">
        <v>11.41374</v>
      </c>
      <c r="O72" s="119"/>
      <c r="P72" s="119"/>
      <c r="Q72" s="119"/>
      <c r="R72" s="139"/>
      <c r="S72" s="134"/>
      <c r="T72" s="81">
        <f t="shared" si="17"/>
        <v>11.41374</v>
      </c>
      <c r="U72" s="135">
        <f t="shared" si="18"/>
        <v>26.63206</v>
      </c>
    </row>
    <row r="73" spans="1:21" ht="87" customHeight="1">
      <c r="A73" s="70" t="s">
        <v>69</v>
      </c>
      <c r="B73" s="75" t="s">
        <v>70</v>
      </c>
      <c r="C73" s="23"/>
      <c r="D73" s="24"/>
      <c r="E73" s="20">
        <v>39.5554</v>
      </c>
      <c r="F73" s="24"/>
      <c r="G73" s="68"/>
      <c r="H73" s="69"/>
      <c r="I73" s="24"/>
      <c r="J73" s="120"/>
      <c r="K73" s="81">
        <f t="shared" si="15"/>
        <v>39.5554</v>
      </c>
      <c r="L73" s="116"/>
      <c r="M73" s="117"/>
      <c r="N73" s="122">
        <v>11.86662</v>
      </c>
      <c r="O73" s="119"/>
      <c r="P73" s="119"/>
      <c r="Q73" s="119"/>
      <c r="R73" s="139"/>
      <c r="S73" s="134"/>
      <c r="T73" s="81">
        <f t="shared" si="17"/>
        <v>11.86662</v>
      </c>
      <c r="U73" s="135">
        <f t="shared" si="18"/>
        <v>27.68878</v>
      </c>
    </row>
    <row r="74" spans="1:21" ht="79.5" customHeight="1">
      <c r="A74" s="70" t="s">
        <v>71</v>
      </c>
      <c r="B74" s="75" t="s">
        <v>72</v>
      </c>
      <c r="C74" s="23"/>
      <c r="D74" s="24"/>
      <c r="E74" s="20">
        <v>20</v>
      </c>
      <c r="F74" s="24"/>
      <c r="G74" s="68"/>
      <c r="H74" s="69"/>
      <c r="I74" s="24"/>
      <c r="J74" s="120"/>
      <c r="K74" s="81">
        <f t="shared" si="15"/>
        <v>20</v>
      </c>
      <c r="L74" s="116"/>
      <c r="M74" s="117"/>
      <c r="N74" s="122">
        <v>6</v>
      </c>
      <c r="O74" s="119"/>
      <c r="P74" s="119"/>
      <c r="Q74" s="119"/>
      <c r="R74" s="139"/>
      <c r="S74" s="134"/>
      <c r="T74" s="81">
        <f t="shared" si="17"/>
        <v>6</v>
      </c>
      <c r="U74" s="135">
        <f t="shared" si="18"/>
        <v>14</v>
      </c>
    </row>
    <row r="75" spans="1:21" ht="85.5" customHeight="1">
      <c r="A75" s="70" t="s">
        <v>73</v>
      </c>
      <c r="B75" s="75" t="s">
        <v>74</v>
      </c>
      <c r="C75" s="23"/>
      <c r="D75" s="24"/>
      <c r="E75" s="20">
        <v>4.16667</v>
      </c>
      <c r="F75" s="24"/>
      <c r="G75" s="68"/>
      <c r="H75" s="69"/>
      <c r="I75" s="24"/>
      <c r="J75" s="120"/>
      <c r="K75" s="81">
        <f t="shared" si="15"/>
        <v>4.16667</v>
      </c>
      <c r="L75" s="116"/>
      <c r="M75" s="117"/>
      <c r="N75" s="122">
        <v>1.25</v>
      </c>
      <c r="O75" s="119"/>
      <c r="P75" s="119"/>
      <c r="Q75" s="119"/>
      <c r="R75" s="139"/>
      <c r="S75" s="134"/>
      <c r="T75" s="81">
        <f t="shared" si="17"/>
        <v>1.25</v>
      </c>
      <c r="U75" s="135">
        <f t="shared" si="18"/>
        <v>2.91667</v>
      </c>
    </row>
    <row r="76" spans="1:21" ht="72" customHeight="1">
      <c r="A76" s="70" t="s">
        <v>75</v>
      </c>
      <c r="B76" s="59" t="s">
        <v>76</v>
      </c>
      <c r="C76" s="23"/>
      <c r="D76" s="24"/>
      <c r="E76" s="20">
        <v>4800</v>
      </c>
      <c r="F76" s="24"/>
      <c r="G76" s="68"/>
      <c r="H76" s="69"/>
      <c r="I76" s="24"/>
      <c r="J76" s="120"/>
      <c r="K76" s="81">
        <f t="shared" si="15"/>
        <v>4800</v>
      </c>
      <c r="L76" s="116"/>
      <c r="M76" s="117"/>
      <c r="N76" s="118"/>
      <c r="O76" s="119"/>
      <c r="P76" s="119"/>
      <c r="Q76" s="119"/>
      <c r="R76" s="139"/>
      <c r="S76" s="134"/>
      <c r="T76" s="81">
        <f t="shared" si="17"/>
        <v>0</v>
      </c>
      <c r="U76" s="135">
        <f t="shared" si="18"/>
        <v>4800</v>
      </c>
    </row>
    <row r="77" spans="1:21" ht="42.75" customHeight="1">
      <c r="A77" s="140" t="s">
        <v>77</v>
      </c>
      <c r="B77" s="7" t="s">
        <v>78</v>
      </c>
      <c r="C77" s="28">
        <f aca="true" t="shared" si="19" ref="C77:J77">C78</f>
        <v>763.3</v>
      </c>
      <c r="D77" s="29">
        <f t="shared" si="19"/>
        <v>1341.1</v>
      </c>
      <c r="E77" s="29">
        <f t="shared" si="19"/>
        <v>994.1</v>
      </c>
      <c r="F77" s="29">
        <f t="shared" si="19"/>
        <v>0</v>
      </c>
      <c r="G77" s="29">
        <f t="shared" si="19"/>
        <v>0</v>
      </c>
      <c r="H77" s="29">
        <f t="shared" si="19"/>
        <v>0</v>
      </c>
      <c r="I77" s="29">
        <f t="shared" si="19"/>
        <v>0</v>
      </c>
      <c r="J77" s="186">
        <f t="shared" si="19"/>
        <v>0</v>
      </c>
      <c r="K77" s="76">
        <f t="shared" si="15"/>
        <v>3098.4999999999995</v>
      </c>
      <c r="L77" s="8">
        <f aca="true" t="shared" si="20" ref="L77:S77">L78</f>
        <v>759.71241</v>
      </c>
      <c r="M77" s="8">
        <f t="shared" si="20"/>
        <v>1334.77246</v>
      </c>
      <c r="N77" s="8">
        <f t="shared" si="20"/>
        <v>989.35633</v>
      </c>
      <c r="O77" s="8">
        <f t="shared" si="20"/>
        <v>0</v>
      </c>
      <c r="P77" s="8">
        <f t="shared" si="20"/>
        <v>0</v>
      </c>
      <c r="Q77" s="8">
        <f t="shared" si="20"/>
        <v>0</v>
      </c>
      <c r="R77" s="8">
        <f t="shared" si="20"/>
        <v>0</v>
      </c>
      <c r="S77" s="28">
        <f t="shared" si="20"/>
        <v>0</v>
      </c>
      <c r="T77" s="76">
        <f t="shared" si="17"/>
        <v>3083.8412</v>
      </c>
      <c r="U77" s="29">
        <f t="shared" si="18"/>
        <v>14.658799999999701</v>
      </c>
    </row>
    <row r="78" spans="1:21" ht="54" customHeight="1">
      <c r="A78" s="141" t="s">
        <v>79</v>
      </c>
      <c r="B78" s="142" t="s">
        <v>80</v>
      </c>
      <c r="C78" s="143">
        <f>777.5-14.2</f>
        <v>763.3</v>
      </c>
      <c r="D78" s="143">
        <f>1366-24.9</f>
        <v>1341.1</v>
      </c>
      <c r="E78" s="143">
        <f>430.7+563.3+0.1</f>
        <v>994.1</v>
      </c>
      <c r="F78" s="48"/>
      <c r="G78" s="48"/>
      <c r="H78" s="48"/>
      <c r="I78" s="48"/>
      <c r="J78" s="187"/>
      <c r="K78" s="188">
        <f t="shared" si="15"/>
        <v>3098.4999999999995</v>
      </c>
      <c r="L78" s="189">
        <v>759.71241</v>
      </c>
      <c r="M78" s="190">
        <v>1334.77246</v>
      </c>
      <c r="N78" s="189">
        <v>989.35633</v>
      </c>
      <c r="O78" s="35"/>
      <c r="P78" s="35"/>
      <c r="Q78" s="35"/>
      <c r="R78" s="91"/>
      <c r="S78" s="138"/>
      <c r="T78" s="107">
        <f t="shared" si="17"/>
        <v>3083.8412</v>
      </c>
      <c r="U78" s="136">
        <f t="shared" si="18"/>
        <v>14.658799999999701</v>
      </c>
    </row>
    <row r="79" spans="1:21" ht="36" customHeight="1">
      <c r="A79" s="144" t="s">
        <v>81</v>
      </c>
      <c r="B79" s="145" t="s">
        <v>82</v>
      </c>
      <c r="C79" s="28">
        <f aca="true" t="shared" si="21" ref="C79:S79">C80+C82</f>
        <v>3399.21005</v>
      </c>
      <c r="D79" s="28">
        <f t="shared" si="21"/>
        <v>903.58995</v>
      </c>
      <c r="E79" s="28">
        <f t="shared" si="21"/>
        <v>2901</v>
      </c>
      <c r="F79" s="28">
        <f t="shared" si="21"/>
        <v>0</v>
      </c>
      <c r="G79" s="28">
        <f t="shared" si="21"/>
        <v>0</v>
      </c>
      <c r="H79" s="28">
        <f t="shared" si="21"/>
        <v>0</v>
      </c>
      <c r="I79" s="28">
        <f t="shared" si="21"/>
        <v>0</v>
      </c>
      <c r="J79" s="28">
        <f t="shared" si="21"/>
        <v>0</v>
      </c>
      <c r="K79" s="76">
        <f t="shared" si="21"/>
        <v>7203.8</v>
      </c>
      <c r="L79" s="86">
        <f t="shared" si="21"/>
        <v>3399.2100500000006</v>
      </c>
      <c r="M79" s="86">
        <f t="shared" si="21"/>
        <v>903.58995</v>
      </c>
      <c r="N79" s="86">
        <f t="shared" si="21"/>
        <v>2900.6</v>
      </c>
      <c r="O79" s="86">
        <f t="shared" si="21"/>
        <v>0</v>
      </c>
      <c r="P79" s="86">
        <f t="shared" si="21"/>
        <v>0</v>
      </c>
      <c r="Q79" s="86">
        <f t="shared" si="21"/>
        <v>0</v>
      </c>
      <c r="R79" s="86">
        <f t="shared" si="21"/>
        <v>0</v>
      </c>
      <c r="S79" s="86">
        <f t="shared" si="21"/>
        <v>0</v>
      </c>
      <c r="T79" s="76">
        <f t="shared" si="17"/>
        <v>7203.4000000000015</v>
      </c>
      <c r="U79" s="29">
        <f t="shared" si="18"/>
        <v>0.3999999999987267</v>
      </c>
    </row>
    <row r="80" spans="1:21" ht="34.5" customHeight="1">
      <c r="A80" s="144" t="s">
        <v>83</v>
      </c>
      <c r="B80" s="145" t="s">
        <v>84</v>
      </c>
      <c r="C80" s="8">
        <f aca="true" t="shared" si="22" ref="C80:S80">C81</f>
        <v>3399.21005</v>
      </c>
      <c r="D80" s="8">
        <f t="shared" si="22"/>
        <v>903.58995</v>
      </c>
      <c r="E80" s="8">
        <f t="shared" si="22"/>
        <v>275</v>
      </c>
      <c r="F80" s="8">
        <f t="shared" si="22"/>
        <v>0</v>
      </c>
      <c r="G80" s="8">
        <f t="shared" si="22"/>
        <v>0</v>
      </c>
      <c r="H80" s="8">
        <f t="shared" si="22"/>
        <v>0</v>
      </c>
      <c r="I80" s="8">
        <f t="shared" si="22"/>
        <v>0</v>
      </c>
      <c r="J80" s="8">
        <f t="shared" si="22"/>
        <v>0</v>
      </c>
      <c r="K80" s="76">
        <f t="shared" si="22"/>
        <v>4577.8</v>
      </c>
      <c r="L80" s="8">
        <f t="shared" si="22"/>
        <v>3399.2100500000006</v>
      </c>
      <c r="M80" s="8">
        <f t="shared" si="22"/>
        <v>903.58995</v>
      </c>
      <c r="N80" s="8">
        <f t="shared" si="22"/>
        <v>274.59999999999997</v>
      </c>
      <c r="O80" s="8">
        <f t="shared" si="22"/>
        <v>0</v>
      </c>
      <c r="P80" s="8">
        <f t="shared" si="22"/>
        <v>0</v>
      </c>
      <c r="Q80" s="8">
        <f t="shared" si="22"/>
        <v>0</v>
      </c>
      <c r="R80" s="8">
        <f t="shared" si="22"/>
        <v>0</v>
      </c>
      <c r="S80" s="28">
        <f t="shared" si="22"/>
        <v>0</v>
      </c>
      <c r="T80" s="76">
        <f t="shared" si="17"/>
        <v>4577.4000000000015</v>
      </c>
      <c r="U80" s="29">
        <f t="shared" si="18"/>
        <v>0.3999999999987267</v>
      </c>
    </row>
    <row r="81" spans="1:21" ht="75" customHeight="1">
      <c r="A81" s="146" t="s">
        <v>85</v>
      </c>
      <c r="B81" s="147" t="s">
        <v>86</v>
      </c>
      <c r="C81" s="143">
        <v>3399.21005</v>
      </c>
      <c r="D81" s="143">
        <v>903.58995</v>
      </c>
      <c r="E81" s="143">
        <v>275</v>
      </c>
      <c r="F81" s="148"/>
      <c r="G81" s="149"/>
      <c r="H81" s="148"/>
      <c r="I81" s="149"/>
      <c r="J81" s="191"/>
      <c r="K81" s="192">
        <f>SUM(C81:J81)</f>
        <v>4577.8</v>
      </c>
      <c r="L81" s="189">
        <f>202.73175+152.45725+118.07454+98.02415+141.04932+30.27015+172.7334+25.24864+18.04535+1282.89613+202.51994+65.34943+427.48181+5.89113+57.42681+174.00028+225.00997</f>
        <v>3399.2100500000006</v>
      </c>
      <c r="M81" s="190">
        <f>53.89087+40.52672+31.38699+26.05712+37.49423+8.04652+45.9166+6.71168+4.79688+341.02396+53.83456+17.37142+113.63472+1.56597+15.2654+46.25337+59.81294</f>
        <v>903.58995</v>
      </c>
      <c r="N81" s="189">
        <f>16.37738+12.31603+9.53847+7.91873+11.39445+2.44533+13.954+2.03968+1.45777+103.63681+16.36026+5.27915+34.53347+0.4759+4.63913+14.05635+18.17709</f>
        <v>274.59999999999997</v>
      </c>
      <c r="O81" s="35"/>
      <c r="P81" s="35"/>
      <c r="Q81" s="35"/>
      <c r="R81" s="91"/>
      <c r="S81" s="138"/>
      <c r="T81" s="107">
        <f t="shared" si="17"/>
        <v>4577.4000000000015</v>
      </c>
      <c r="U81" s="136">
        <f t="shared" si="18"/>
        <v>0.3999999999987267</v>
      </c>
    </row>
    <row r="82" spans="1:21" ht="45" customHeight="1">
      <c r="A82" s="6" t="s">
        <v>87</v>
      </c>
      <c r="B82" s="7" t="s">
        <v>88</v>
      </c>
      <c r="C82" s="8">
        <f aca="true" t="shared" si="23" ref="C82:S82">C83+C84</f>
        <v>0</v>
      </c>
      <c r="D82" s="8">
        <f t="shared" si="23"/>
        <v>0</v>
      </c>
      <c r="E82" s="8">
        <f t="shared" si="23"/>
        <v>2626</v>
      </c>
      <c r="F82" s="8">
        <f t="shared" si="23"/>
        <v>0</v>
      </c>
      <c r="G82" s="8">
        <f t="shared" si="23"/>
        <v>0</v>
      </c>
      <c r="H82" s="8">
        <f t="shared" si="23"/>
        <v>0</v>
      </c>
      <c r="I82" s="8">
        <f t="shared" si="23"/>
        <v>0</v>
      </c>
      <c r="J82" s="8">
        <f t="shared" si="23"/>
        <v>0</v>
      </c>
      <c r="K82" s="76">
        <f t="shared" si="23"/>
        <v>2626</v>
      </c>
      <c r="L82" s="8">
        <f t="shared" si="23"/>
        <v>0</v>
      </c>
      <c r="M82" s="8">
        <f t="shared" si="23"/>
        <v>0</v>
      </c>
      <c r="N82" s="8">
        <f t="shared" si="23"/>
        <v>2626</v>
      </c>
      <c r="O82" s="8">
        <f t="shared" si="23"/>
        <v>0</v>
      </c>
      <c r="P82" s="8">
        <f t="shared" si="23"/>
        <v>0</v>
      </c>
      <c r="Q82" s="8">
        <f t="shared" si="23"/>
        <v>0</v>
      </c>
      <c r="R82" s="8">
        <f t="shared" si="23"/>
        <v>0</v>
      </c>
      <c r="S82" s="8">
        <f t="shared" si="23"/>
        <v>0</v>
      </c>
      <c r="T82" s="76">
        <f t="shared" si="17"/>
        <v>2626</v>
      </c>
      <c r="U82" s="29">
        <f t="shared" si="18"/>
        <v>0</v>
      </c>
    </row>
    <row r="83" spans="1:21" ht="93" customHeight="1">
      <c r="A83" s="150" t="s">
        <v>89</v>
      </c>
      <c r="B83" s="151" t="s">
        <v>90</v>
      </c>
      <c r="C83" s="152"/>
      <c r="D83" s="153"/>
      <c r="E83" s="153">
        <f>1526</f>
        <v>1526</v>
      </c>
      <c r="F83" s="149"/>
      <c r="G83" s="149"/>
      <c r="H83" s="149"/>
      <c r="I83" s="149"/>
      <c r="J83" s="193"/>
      <c r="K83" s="194">
        <f>SUM(C83:J83)</f>
        <v>1526</v>
      </c>
      <c r="L83" s="52"/>
      <c r="M83" s="108"/>
      <c r="N83" s="195">
        <f>180.37+23.87+263.465+361.965+118.69+283.2+257.1+37.34</f>
        <v>1525.9999999999998</v>
      </c>
      <c r="O83" s="54"/>
      <c r="P83" s="54"/>
      <c r="Q83" s="54"/>
      <c r="R83" s="105"/>
      <c r="S83" s="138"/>
      <c r="T83" s="107">
        <f t="shared" si="17"/>
        <v>1525.9999999999998</v>
      </c>
      <c r="U83" s="136">
        <f t="shared" si="18"/>
        <v>0</v>
      </c>
    </row>
    <row r="84" spans="1:21" ht="66" customHeight="1">
      <c r="A84" s="154" t="s">
        <v>91</v>
      </c>
      <c r="B84" s="155" t="s">
        <v>92</v>
      </c>
      <c r="C84" s="156"/>
      <c r="D84" s="157"/>
      <c r="E84" s="157">
        <f>1100</f>
        <v>1100</v>
      </c>
      <c r="F84" s="158"/>
      <c r="G84" s="158"/>
      <c r="H84" s="158"/>
      <c r="I84" s="158"/>
      <c r="J84" s="196"/>
      <c r="K84" s="81">
        <f>SUM(C84:J84)</f>
        <v>1100</v>
      </c>
      <c r="L84" s="98"/>
      <c r="M84" s="99"/>
      <c r="N84" s="100">
        <f>588.8+511.2</f>
        <v>1100</v>
      </c>
      <c r="O84" s="26"/>
      <c r="P84" s="26"/>
      <c r="Q84" s="26"/>
      <c r="R84" s="131"/>
      <c r="S84" s="134"/>
      <c r="T84" s="81">
        <f t="shared" si="17"/>
        <v>1100</v>
      </c>
      <c r="U84" s="135">
        <f t="shared" si="18"/>
        <v>0</v>
      </c>
    </row>
    <row r="85" spans="1:21" ht="43.5" customHeight="1">
      <c r="A85" s="144" t="s">
        <v>93</v>
      </c>
      <c r="B85" s="145" t="s">
        <v>94</v>
      </c>
      <c r="C85" s="28">
        <f aca="true" t="shared" si="24" ref="C85:S85">C86+C87+C88+C89</f>
        <v>0</v>
      </c>
      <c r="D85" s="28">
        <f t="shared" si="24"/>
        <v>86990.59999999999</v>
      </c>
      <c r="E85" s="28">
        <f t="shared" si="24"/>
        <v>419</v>
      </c>
      <c r="F85" s="28">
        <f t="shared" si="24"/>
        <v>0</v>
      </c>
      <c r="G85" s="28">
        <f t="shared" si="24"/>
        <v>0</v>
      </c>
      <c r="H85" s="28">
        <f t="shared" si="24"/>
        <v>0</v>
      </c>
      <c r="I85" s="28">
        <f t="shared" si="24"/>
        <v>0</v>
      </c>
      <c r="J85" s="28">
        <f t="shared" si="24"/>
        <v>0</v>
      </c>
      <c r="K85" s="76">
        <f t="shared" si="24"/>
        <v>87409.59999999998</v>
      </c>
      <c r="L85" s="8">
        <f t="shared" si="24"/>
        <v>0</v>
      </c>
      <c r="M85" s="8">
        <f t="shared" si="24"/>
        <v>0</v>
      </c>
      <c r="N85" s="8">
        <f t="shared" si="24"/>
        <v>0</v>
      </c>
      <c r="O85" s="8">
        <f t="shared" si="24"/>
        <v>0</v>
      </c>
      <c r="P85" s="8">
        <f t="shared" si="24"/>
        <v>0</v>
      </c>
      <c r="Q85" s="8">
        <f t="shared" si="24"/>
        <v>0</v>
      </c>
      <c r="R85" s="8">
        <f t="shared" si="24"/>
        <v>0</v>
      </c>
      <c r="S85" s="8">
        <f t="shared" si="24"/>
        <v>0</v>
      </c>
      <c r="T85" s="76">
        <f t="shared" si="17"/>
        <v>0</v>
      </c>
      <c r="U85" s="29">
        <f t="shared" si="18"/>
        <v>87409.59999999998</v>
      </c>
    </row>
    <row r="86" spans="1:21" ht="105" customHeight="1">
      <c r="A86" s="159" t="s">
        <v>95</v>
      </c>
      <c r="B86" s="160" t="s">
        <v>96</v>
      </c>
      <c r="C86" s="38"/>
      <c r="D86" s="38">
        <v>4695.3</v>
      </c>
      <c r="E86" s="12">
        <f>319-119.483</f>
        <v>199.517</v>
      </c>
      <c r="F86" s="38"/>
      <c r="G86" s="38"/>
      <c r="H86" s="38"/>
      <c r="I86" s="38"/>
      <c r="J86" s="197"/>
      <c r="K86" s="93">
        <f>SUM(C86:J86)</f>
        <v>4894.817</v>
      </c>
      <c r="L86" s="34"/>
      <c r="M86" s="94"/>
      <c r="N86" s="95"/>
      <c r="O86" s="35"/>
      <c r="P86" s="35"/>
      <c r="Q86" s="35"/>
      <c r="R86" s="91"/>
      <c r="S86" s="129"/>
      <c r="T86" s="77">
        <f t="shared" si="17"/>
        <v>0</v>
      </c>
      <c r="U86" s="130">
        <f t="shared" si="18"/>
        <v>4894.817</v>
      </c>
    </row>
    <row r="87" spans="1:21" ht="72" customHeight="1">
      <c r="A87" s="161" t="s">
        <v>97</v>
      </c>
      <c r="B87" s="162" t="s">
        <v>98</v>
      </c>
      <c r="C87" s="24"/>
      <c r="D87" s="24">
        <f>121968.4-4695.3-34977.8</f>
        <v>82295.29999999999</v>
      </c>
      <c r="E87" s="20"/>
      <c r="F87" s="24"/>
      <c r="G87" s="24"/>
      <c r="H87" s="24"/>
      <c r="I87" s="24"/>
      <c r="J87" s="120"/>
      <c r="K87" s="81">
        <f>SUM(C87:J87)</f>
        <v>82295.29999999999</v>
      </c>
      <c r="L87" s="98"/>
      <c r="M87" s="99"/>
      <c r="N87" s="100"/>
      <c r="O87" s="26"/>
      <c r="P87" s="26"/>
      <c r="Q87" s="26"/>
      <c r="R87" s="131"/>
      <c r="S87" s="134"/>
      <c r="T87" s="81">
        <f t="shared" si="17"/>
        <v>0</v>
      </c>
      <c r="U87" s="135">
        <f t="shared" si="18"/>
        <v>82295.29999999999</v>
      </c>
    </row>
    <row r="88" spans="1:21" ht="45" customHeight="1">
      <c r="A88" s="161" t="s">
        <v>99</v>
      </c>
      <c r="B88" s="162" t="s">
        <v>100</v>
      </c>
      <c r="C88" s="24"/>
      <c r="D88" s="20"/>
      <c r="E88" s="20">
        <v>119.483</v>
      </c>
      <c r="F88" s="24"/>
      <c r="G88" s="24"/>
      <c r="H88" s="24"/>
      <c r="I88" s="24"/>
      <c r="J88" s="120"/>
      <c r="K88" s="81">
        <f>SUM(C88:J88)</f>
        <v>119.483</v>
      </c>
      <c r="L88" s="98"/>
      <c r="M88" s="99"/>
      <c r="N88" s="100"/>
      <c r="O88" s="26"/>
      <c r="P88" s="26"/>
      <c r="Q88" s="26"/>
      <c r="R88" s="131"/>
      <c r="S88" s="134"/>
      <c r="T88" s="81">
        <f t="shared" si="17"/>
        <v>0</v>
      </c>
      <c r="U88" s="135">
        <f t="shared" si="18"/>
        <v>119.483</v>
      </c>
    </row>
    <row r="89" spans="1:21" ht="39" customHeight="1">
      <c r="A89" s="161" t="s">
        <v>101</v>
      </c>
      <c r="B89" s="162" t="s">
        <v>102</v>
      </c>
      <c r="C89" s="24"/>
      <c r="D89" s="20"/>
      <c r="E89" s="20">
        <v>100</v>
      </c>
      <c r="F89" s="24"/>
      <c r="G89" s="24"/>
      <c r="H89" s="24"/>
      <c r="I89" s="24"/>
      <c r="J89" s="120"/>
      <c r="K89" s="81">
        <f>SUM(C89:J89)</f>
        <v>100</v>
      </c>
      <c r="L89" s="98"/>
      <c r="M89" s="99"/>
      <c r="N89" s="100"/>
      <c r="O89" s="26"/>
      <c r="P89" s="26"/>
      <c r="Q89" s="26"/>
      <c r="R89" s="131"/>
      <c r="S89" s="134"/>
      <c r="T89" s="81">
        <f t="shared" si="17"/>
        <v>0</v>
      </c>
      <c r="U89" s="135">
        <f t="shared" si="18"/>
        <v>100</v>
      </c>
    </row>
    <row r="90" spans="1:21" ht="27" customHeight="1">
      <c r="A90" s="144" t="s">
        <v>103</v>
      </c>
      <c r="B90" s="145" t="s">
        <v>104</v>
      </c>
      <c r="C90" s="8">
        <f aca="true" t="shared" si="25" ref="C90:S90">C91</f>
        <v>0</v>
      </c>
      <c r="D90" s="8">
        <f t="shared" si="25"/>
        <v>0</v>
      </c>
      <c r="E90" s="8">
        <f t="shared" si="25"/>
        <v>635</v>
      </c>
      <c r="F90" s="8">
        <f t="shared" si="25"/>
        <v>0</v>
      </c>
      <c r="G90" s="8">
        <f t="shared" si="25"/>
        <v>0</v>
      </c>
      <c r="H90" s="8">
        <f t="shared" si="25"/>
        <v>0</v>
      </c>
      <c r="I90" s="8">
        <f t="shared" si="25"/>
        <v>0</v>
      </c>
      <c r="J90" s="8">
        <f t="shared" si="25"/>
        <v>0</v>
      </c>
      <c r="K90" s="76">
        <f t="shared" si="25"/>
        <v>635</v>
      </c>
      <c r="L90" s="8">
        <f t="shared" si="25"/>
        <v>0</v>
      </c>
      <c r="M90" s="8">
        <f t="shared" si="25"/>
        <v>0</v>
      </c>
      <c r="N90" s="8">
        <f t="shared" si="25"/>
        <v>634.434</v>
      </c>
      <c r="O90" s="8">
        <f t="shared" si="25"/>
        <v>0</v>
      </c>
      <c r="P90" s="8">
        <f t="shared" si="25"/>
        <v>0</v>
      </c>
      <c r="Q90" s="8">
        <f t="shared" si="25"/>
        <v>0</v>
      </c>
      <c r="R90" s="8">
        <f t="shared" si="25"/>
        <v>0</v>
      </c>
      <c r="S90" s="28">
        <f t="shared" si="25"/>
        <v>0</v>
      </c>
      <c r="T90" s="76">
        <f t="shared" si="17"/>
        <v>634.434</v>
      </c>
      <c r="U90" s="29">
        <f t="shared" si="18"/>
        <v>0.5660000000000309</v>
      </c>
    </row>
    <row r="91" spans="1:21" ht="48" customHeight="1">
      <c r="A91" s="163" t="s">
        <v>105</v>
      </c>
      <c r="B91" s="164" t="s">
        <v>106</v>
      </c>
      <c r="C91" s="65"/>
      <c r="D91" s="16"/>
      <c r="E91" s="65">
        <v>635</v>
      </c>
      <c r="F91" s="65"/>
      <c r="G91" s="65"/>
      <c r="H91" s="65"/>
      <c r="I91" s="65"/>
      <c r="J91" s="115"/>
      <c r="K91" s="79">
        <f>SUM(C91:J91)</f>
        <v>635</v>
      </c>
      <c r="L91" s="34"/>
      <c r="M91" s="94"/>
      <c r="N91" s="95">
        <f>404.203+230.231</f>
        <v>634.434</v>
      </c>
      <c r="O91" s="35"/>
      <c r="P91" s="35"/>
      <c r="Q91" s="35"/>
      <c r="R91" s="91"/>
      <c r="S91" s="138"/>
      <c r="T91" s="107">
        <f t="shared" si="17"/>
        <v>634.434</v>
      </c>
      <c r="U91" s="136">
        <f t="shared" si="18"/>
        <v>0.5660000000000309</v>
      </c>
    </row>
    <row r="92" spans="1:21" ht="24.75" customHeight="1">
      <c r="A92" s="165" t="s">
        <v>107</v>
      </c>
      <c r="B92" s="166" t="s">
        <v>108</v>
      </c>
      <c r="C92" s="167">
        <f aca="true" t="shared" si="26" ref="C92:J92">C93+C98+C95+C100</f>
        <v>0</v>
      </c>
      <c r="D92" s="167">
        <f t="shared" si="26"/>
        <v>0</v>
      </c>
      <c r="E92" s="167">
        <f t="shared" si="26"/>
        <v>1093.8322400000002</v>
      </c>
      <c r="F92" s="167">
        <f t="shared" si="26"/>
        <v>0</v>
      </c>
      <c r="G92" s="167">
        <f t="shared" si="26"/>
        <v>0</v>
      </c>
      <c r="H92" s="167">
        <f t="shared" si="26"/>
        <v>0</v>
      </c>
      <c r="I92" s="167">
        <f t="shared" si="26"/>
        <v>0</v>
      </c>
      <c r="J92" s="167">
        <f t="shared" si="26"/>
        <v>0</v>
      </c>
      <c r="K92" s="103">
        <f>SUM(C92:J92)</f>
        <v>1093.8322400000002</v>
      </c>
      <c r="L92" s="167">
        <f aca="true" t="shared" si="27" ref="L92:S92">L93+L98+L95+L100</f>
        <v>0</v>
      </c>
      <c r="M92" s="167">
        <f t="shared" si="27"/>
        <v>0</v>
      </c>
      <c r="N92" s="167">
        <f t="shared" si="27"/>
        <v>584.231</v>
      </c>
      <c r="O92" s="167">
        <f t="shared" si="27"/>
        <v>0</v>
      </c>
      <c r="P92" s="167">
        <f t="shared" si="27"/>
        <v>0</v>
      </c>
      <c r="Q92" s="167">
        <f t="shared" si="27"/>
        <v>0</v>
      </c>
      <c r="R92" s="167">
        <f t="shared" si="27"/>
        <v>0</v>
      </c>
      <c r="S92" s="167">
        <f t="shared" si="27"/>
        <v>0</v>
      </c>
      <c r="T92" s="103">
        <f t="shared" si="17"/>
        <v>584.231</v>
      </c>
      <c r="U92" s="137">
        <f t="shared" si="18"/>
        <v>509.6012400000002</v>
      </c>
    </row>
    <row r="93" spans="1:21" s="1" customFormat="1" ht="24" customHeight="1">
      <c r="A93" s="6" t="s">
        <v>109</v>
      </c>
      <c r="B93" s="7" t="s">
        <v>110</v>
      </c>
      <c r="C93" s="8">
        <f aca="true" t="shared" si="28" ref="C93:J93">C94</f>
        <v>0</v>
      </c>
      <c r="D93" s="8">
        <f t="shared" si="28"/>
        <v>0</v>
      </c>
      <c r="E93" s="8">
        <f t="shared" si="28"/>
        <v>130.12624</v>
      </c>
      <c r="F93" s="8">
        <f t="shared" si="28"/>
        <v>0</v>
      </c>
      <c r="G93" s="8">
        <f t="shared" si="28"/>
        <v>0</v>
      </c>
      <c r="H93" s="8">
        <f t="shared" si="28"/>
        <v>0</v>
      </c>
      <c r="I93" s="8">
        <f t="shared" si="28"/>
        <v>0</v>
      </c>
      <c r="J93" s="8">
        <f t="shared" si="28"/>
        <v>0</v>
      </c>
      <c r="K93" s="76">
        <f>SUM(C93:J93)</f>
        <v>130.12624</v>
      </c>
      <c r="L93" s="8">
        <f aca="true" t="shared" si="29" ref="L93:S93">L94</f>
        <v>0</v>
      </c>
      <c r="M93" s="8">
        <f t="shared" si="29"/>
        <v>0</v>
      </c>
      <c r="N93" s="8">
        <f t="shared" si="29"/>
        <v>130.126</v>
      </c>
      <c r="O93" s="8">
        <f t="shared" si="29"/>
        <v>0</v>
      </c>
      <c r="P93" s="8">
        <f t="shared" si="29"/>
        <v>0</v>
      </c>
      <c r="Q93" s="8">
        <f t="shared" si="29"/>
        <v>0</v>
      </c>
      <c r="R93" s="8">
        <f t="shared" si="29"/>
        <v>0</v>
      </c>
      <c r="S93" s="8">
        <f t="shared" si="29"/>
        <v>0</v>
      </c>
      <c r="T93" s="76">
        <f t="shared" si="17"/>
        <v>130.126</v>
      </c>
      <c r="U93" s="29">
        <f t="shared" si="18"/>
        <v>0.00023999999999091415</v>
      </c>
    </row>
    <row r="94" spans="1:21" ht="69" customHeight="1">
      <c r="A94" s="168" t="s">
        <v>111</v>
      </c>
      <c r="B94" s="56" t="s">
        <v>112</v>
      </c>
      <c r="C94" s="23"/>
      <c r="D94" s="24"/>
      <c r="E94" s="24">
        <v>130.12624</v>
      </c>
      <c r="F94" s="24"/>
      <c r="G94" s="24"/>
      <c r="H94" s="24"/>
      <c r="I94" s="24"/>
      <c r="J94" s="120"/>
      <c r="K94" s="81">
        <f aca="true" t="shared" si="30" ref="K94:K105">SUM(C94:J94)</f>
        <v>130.12624</v>
      </c>
      <c r="L94" s="24"/>
      <c r="M94" s="198"/>
      <c r="N94" s="198">
        <v>130.126</v>
      </c>
      <c r="O94" s="198"/>
      <c r="P94" s="24"/>
      <c r="Q94" s="24"/>
      <c r="R94" s="24"/>
      <c r="S94" s="120"/>
      <c r="T94" s="114">
        <f t="shared" si="17"/>
        <v>130.126</v>
      </c>
      <c r="U94" s="133">
        <f t="shared" si="18"/>
        <v>0.00023999999999091415</v>
      </c>
    </row>
    <row r="95" spans="1:21" ht="21" customHeight="1">
      <c r="A95" s="6" t="s">
        <v>113</v>
      </c>
      <c r="B95" s="7" t="s">
        <v>114</v>
      </c>
      <c r="C95" s="8">
        <f aca="true" t="shared" si="31" ref="C95:J95">C96+C97</f>
        <v>0</v>
      </c>
      <c r="D95" s="8">
        <f t="shared" si="31"/>
        <v>0</v>
      </c>
      <c r="E95" s="8">
        <f t="shared" si="31"/>
        <v>137.56</v>
      </c>
      <c r="F95" s="8">
        <f t="shared" si="31"/>
        <v>0</v>
      </c>
      <c r="G95" s="8">
        <f t="shared" si="31"/>
        <v>0</v>
      </c>
      <c r="H95" s="8">
        <f t="shared" si="31"/>
        <v>0</v>
      </c>
      <c r="I95" s="8">
        <f t="shared" si="31"/>
        <v>0</v>
      </c>
      <c r="J95" s="8">
        <f t="shared" si="31"/>
        <v>0</v>
      </c>
      <c r="K95" s="76">
        <f t="shared" si="30"/>
        <v>137.56</v>
      </c>
      <c r="L95" s="8">
        <f aca="true" t="shared" si="32" ref="L95:S95">L96+L97</f>
        <v>0</v>
      </c>
      <c r="M95" s="8">
        <f t="shared" si="32"/>
        <v>0</v>
      </c>
      <c r="N95" s="8">
        <f t="shared" si="32"/>
        <v>137.16</v>
      </c>
      <c r="O95" s="8">
        <f t="shared" si="32"/>
        <v>0</v>
      </c>
      <c r="P95" s="8">
        <f t="shared" si="32"/>
        <v>0</v>
      </c>
      <c r="Q95" s="8">
        <f t="shared" si="32"/>
        <v>0</v>
      </c>
      <c r="R95" s="8">
        <f t="shared" si="32"/>
        <v>0</v>
      </c>
      <c r="S95" s="8">
        <f t="shared" si="32"/>
        <v>0</v>
      </c>
      <c r="T95" s="76">
        <f t="shared" si="17"/>
        <v>137.16</v>
      </c>
      <c r="U95" s="29">
        <f t="shared" si="18"/>
        <v>0.4000000000000057</v>
      </c>
    </row>
    <row r="96" spans="1:21" ht="81.75" customHeight="1">
      <c r="A96" s="169" t="s">
        <v>115</v>
      </c>
      <c r="B96" s="44" t="s">
        <v>116</v>
      </c>
      <c r="C96" s="45"/>
      <c r="D96" s="48"/>
      <c r="E96" s="46">
        <v>73.06</v>
      </c>
      <c r="F96" s="65"/>
      <c r="G96" s="65"/>
      <c r="H96" s="65"/>
      <c r="I96" s="65"/>
      <c r="J96" s="115"/>
      <c r="K96" s="81">
        <f t="shared" si="30"/>
        <v>73.06</v>
      </c>
      <c r="L96" s="65"/>
      <c r="M96" s="199"/>
      <c r="N96" s="200">
        <f>5.16+67.5</f>
        <v>72.66</v>
      </c>
      <c r="O96" s="199"/>
      <c r="P96" s="65"/>
      <c r="Q96" s="65"/>
      <c r="R96" s="65"/>
      <c r="S96" s="115"/>
      <c r="T96" s="81">
        <f t="shared" si="17"/>
        <v>72.66</v>
      </c>
      <c r="U96" s="135">
        <f t="shared" si="18"/>
        <v>0.4000000000000057</v>
      </c>
    </row>
    <row r="97" spans="1:21" ht="72.75" customHeight="1">
      <c r="A97" s="168" t="s">
        <v>117</v>
      </c>
      <c r="B97" s="170" t="s">
        <v>118</v>
      </c>
      <c r="C97" s="171"/>
      <c r="D97" s="172"/>
      <c r="E97" s="173">
        <v>64.5</v>
      </c>
      <c r="F97" s="24"/>
      <c r="G97" s="24"/>
      <c r="H97" s="24"/>
      <c r="I97" s="24"/>
      <c r="J97" s="120"/>
      <c r="K97" s="81">
        <f t="shared" si="30"/>
        <v>64.5</v>
      </c>
      <c r="L97" s="24"/>
      <c r="M97" s="198"/>
      <c r="N97" s="112">
        <v>64.5</v>
      </c>
      <c r="O97" s="198"/>
      <c r="P97" s="24"/>
      <c r="Q97" s="24"/>
      <c r="R97" s="24"/>
      <c r="S97" s="120"/>
      <c r="T97" s="114">
        <f t="shared" si="17"/>
        <v>64.5</v>
      </c>
      <c r="U97" s="133">
        <f t="shared" si="18"/>
        <v>0</v>
      </c>
    </row>
    <row r="98" spans="1:21" ht="27" customHeight="1">
      <c r="A98" s="6" t="s">
        <v>119</v>
      </c>
      <c r="B98" s="7" t="s">
        <v>120</v>
      </c>
      <c r="C98" s="8">
        <f aca="true" t="shared" si="33" ref="C98:J98">C99</f>
        <v>0</v>
      </c>
      <c r="D98" s="8">
        <f t="shared" si="33"/>
        <v>0</v>
      </c>
      <c r="E98" s="8">
        <f t="shared" si="33"/>
        <v>230</v>
      </c>
      <c r="F98" s="8">
        <f t="shared" si="33"/>
        <v>0</v>
      </c>
      <c r="G98" s="8">
        <f t="shared" si="33"/>
        <v>0</v>
      </c>
      <c r="H98" s="8">
        <f t="shared" si="33"/>
        <v>0</v>
      </c>
      <c r="I98" s="8">
        <f t="shared" si="33"/>
        <v>0</v>
      </c>
      <c r="J98" s="8">
        <f t="shared" si="33"/>
        <v>0</v>
      </c>
      <c r="K98" s="76">
        <f t="shared" si="30"/>
        <v>230</v>
      </c>
      <c r="L98" s="8">
        <f aca="true" t="shared" si="34" ref="L98:S98">L99</f>
        <v>0</v>
      </c>
      <c r="M98" s="8">
        <f t="shared" si="34"/>
        <v>0</v>
      </c>
      <c r="N98" s="8">
        <f t="shared" si="34"/>
        <v>209.90200000000002</v>
      </c>
      <c r="O98" s="8">
        <f t="shared" si="34"/>
        <v>0</v>
      </c>
      <c r="P98" s="8">
        <f t="shared" si="34"/>
        <v>0</v>
      </c>
      <c r="Q98" s="8">
        <f t="shared" si="34"/>
        <v>0</v>
      </c>
      <c r="R98" s="8">
        <f t="shared" si="34"/>
        <v>0</v>
      </c>
      <c r="S98" s="8">
        <f t="shared" si="34"/>
        <v>0</v>
      </c>
      <c r="T98" s="76">
        <f t="shared" si="17"/>
        <v>209.90200000000002</v>
      </c>
      <c r="U98" s="29">
        <f t="shared" si="18"/>
        <v>20.097999999999985</v>
      </c>
    </row>
    <row r="99" spans="1:21" ht="69" customHeight="1">
      <c r="A99" s="169" t="s">
        <v>121</v>
      </c>
      <c r="B99" s="174" t="s">
        <v>122</v>
      </c>
      <c r="C99" s="64"/>
      <c r="D99" s="65"/>
      <c r="E99" s="65">
        <v>230</v>
      </c>
      <c r="F99" s="65"/>
      <c r="G99" s="65"/>
      <c r="H99" s="65"/>
      <c r="I99" s="65"/>
      <c r="J99" s="115"/>
      <c r="K99" s="81">
        <f t="shared" si="30"/>
        <v>230</v>
      </c>
      <c r="L99" s="65"/>
      <c r="M99" s="199"/>
      <c r="N99" s="199">
        <f>185.436+24.466</f>
        <v>209.90200000000002</v>
      </c>
      <c r="O99" s="199"/>
      <c r="P99" s="65"/>
      <c r="Q99" s="65"/>
      <c r="R99" s="65"/>
      <c r="S99" s="115"/>
      <c r="T99" s="114">
        <f t="shared" si="17"/>
        <v>209.90200000000002</v>
      </c>
      <c r="U99" s="133">
        <f t="shared" si="18"/>
        <v>20.097999999999985</v>
      </c>
    </row>
    <row r="100" spans="1:21" ht="27" customHeight="1">
      <c r="A100" s="6" t="s">
        <v>123</v>
      </c>
      <c r="B100" s="7" t="s">
        <v>124</v>
      </c>
      <c r="C100" s="8">
        <f aca="true" t="shared" si="35" ref="C100:J100">C101+C102+C103+C104+C105</f>
        <v>0</v>
      </c>
      <c r="D100" s="8">
        <f t="shared" si="35"/>
        <v>0</v>
      </c>
      <c r="E100" s="8">
        <f t="shared" si="35"/>
        <v>596.1460000000001</v>
      </c>
      <c r="F100" s="8">
        <f t="shared" si="35"/>
        <v>0</v>
      </c>
      <c r="G100" s="8">
        <f t="shared" si="35"/>
        <v>0</v>
      </c>
      <c r="H100" s="8">
        <f t="shared" si="35"/>
        <v>0</v>
      </c>
      <c r="I100" s="8">
        <f t="shared" si="35"/>
        <v>0</v>
      </c>
      <c r="J100" s="8">
        <f t="shared" si="35"/>
        <v>0</v>
      </c>
      <c r="K100" s="76">
        <f t="shared" si="30"/>
        <v>596.1460000000001</v>
      </c>
      <c r="L100" s="8">
        <f aca="true" t="shared" si="36" ref="L100:S100">L101+L102+L103+L104+L105</f>
        <v>0</v>
      </c>
      <c r="M100" s="8">
        <f t="shared" si="36"/>
        <v>0</v>
      </c>
      <c r="N100" s="8">
        <f t="shared" si="36"/>
        <v>107.043</v>
      </c>
      <c r="O100" s="8">
        <f t="shared" si="36"/>
        <v>0</v>
      </c>
      <c r="P100" s="8">
        <f t="shared" si="36"/>
        <v>0</v>
      </c>
      <c r="Q100" s="8">
        <f t="shared" si="36"/>
        <v>0</v>
      </c>
      <c r="R100" s="8">
        <f t="shared" si="36"/>
        <v>0</v>
      </c>
      <c r="S100" s="8">
        <f t="shared" si="36"/>
        <v>0</v>
      </c>
      <c r="T100" s="76">
        <f t="shared" si="17"/>
        <v>107.043</v>
      </c>
      <c r="U100" s="29">
        <f t="shared" si="18"/>
        <v>489.10300000000007</v>
      </c>
    </row>
    <row r="101" spans="1:21" ht="84.75" customHeight="1">
      <c r="A101" s="169" t="s">
        <v>125</v>
      </c>
      <c r="B101" s="174" t="s">
        <v>126</v>
      </c>
      <c r="C101" s="64"/>
      <c r="D101" s="65"/>
      <c r="E101" s="65">
        <v>400</v>
      </c>
      <c r="F101" s="65"/>
      <c r="G101" s="65"/>
      <c r="H101" s="65"/>
      <c r="I101" s="65"/>
      <c r="J101" s="115"/>
      <c r="K101" s="81">
        <f t="shared" si="30"/>
        <v>400</v>
      </c>
      <c r="L101" s="65"/>
      <c r="M101" s="199"/>
      <c r="N101" s="199"/>
      <c r="O101" s="199"/>
      <c r="P101" s="65"/>
      <c r="Q101" s="65"/>
      <c r="R101" s="65"/>
      <c r="S101" s="115"/>
      <c r="T101" s="81">
        <f t="shared" si="17"/>
        <v>0</v>
      </c>
      <c r="U101" s="135">
        <f t="shared" si="18"/>
        <v>400</v>
      </c>
    </row>
    <row r="102" spans="1:21" ht="61.5" customHeight="1">
      <c r="A102" s="168" t="s">
        <v>127</v>
      </c>
      <c r="B102" s="56" t="s">
        <v>128</v>
      </c>
      <c r="C102" s="23"/>
      <c r="D102" s="24"/>
      <c r="E102" s="24">
        <v>49.342</v>
      </c>
      <c r="F102" s="24"/>
      <c r="G102" s="24"/>
      <c r="H102" s="24"/>
      <c r="I102" s="24"/>
      <c r="J102" s="120"/>
      <c r="K102" s="81">
        <f t="shared" si="30"/>
        <v>49.342</v>
      </c>
      <c r="L102" s="24"/>
      <c r="M102" s="198"/>
      <c r="N102" s="198">
        <v>49.342</v>
      </c>
      <c r="O102" s="198"/>
      <c r="P102" s="24"/>
      <c r="Q102" s="24"/>
      <c r="R102" s="24"/>
      <c r="S102" s="120"/>
      <c r="T102" s="81">
        <f t="shared" si="17"/>
        <v>49.342</v>
      </c>
      <c r="U102" s="135">
        <f t="shared" si="18"/>
        <v>0</v>
      </c>
    </row>
    <row r="103" spans="1:21" ht="51">
      <c r="A103" s="168" t="s">
        <v>129</v>
      </c>
      <c r="B103" s="56" t="s">
        <v>130</v>
      </c>
      <c r="C103" s="23"/>
      <c r="D103" s="24"/>
      <c r="E103" s="24">
        <v>57.701</v>
      </c>
      <c r="F103" s="24"/>
      <c r="G103" s="24"/>
      <c r="H103" s="24"/>
      <c r="I103" s="24"/>
      <c r="J103" s="120"/>
      <c r="K103" s="81">
        <f t="shared" si="30"/>
        <v>57.701</v>
      </c>
      <c r="L103" s="24"/>
      <c r="M103" s="198"/>
      <c r="N103" s="198">
        <v>57.701</v>
      </c>
      <c r="O103" s="198"/>
      <c r="P103" s="24"/>
      <c r="Q103" s="24"/>
      <c r="R103" s="24"/>
      <c r="S103" s="120"/>
      <c r="T103" s="114">
        <f>SUM(L103:S103)</f>
        <v>57.701</v>
      </c>
      <c r="U103" s="133">
        <f aca="true" t="shared" si="37" ref="U103:U112">K103-T103</f>
        <v>0</v>
      </c>
    </row>
    <row r="104" spans="1:21" ht="51">
      <c r="A104" s="168" t="s">
        <v>131</v>
      </c>
      <c r="B104" s="56" t="s">
        <v>132</v>
      </c>
      <c r="C104" s="23"/>
      <c r="D104" s="24"/>
      <c r="E104" s="24">
        <v>47.041</v>
      </c>
      <c r="F104" s="24"/>
      <c r="G104" s="24"/>
      <c r="H104" s="24"/>
      <c r="I104" s="24"/>
      <c r="J104" s="120"/>
      <c r="K104" s="81">
        <f t="shared" si="30"/>
        <v>47.041</v>
      </c>
      <c r="L104" s="24"/>
      <c r="M104" s="198"/>
      <c r="N104" s="198"/>
      <c r="O104" s="198"/>
      <c r="P104" s="24"/>
      <c r="Q104" s="24"/>
      <c r="R104" s="24"/>
      <c r="S104" s="120"/>
      <c r="T104" s="81">
        <f>SUM(L104:S104)</f>
        <v>0</v>
      </c>
      <c r="U104" s="133">
        <f t="shared" si="37"/>
        <v>47.041</v>
      </c>
    </row>
    <row r="105" spans="1:21" ht="51">
      <c r="A105" s="168" t="s">
        <v>133</v>
      </c>
      <c r="B105" s="56" t="s">
        <v>134</v>
      </c>
      <c r="C105" s="23"/>
      <c r="D105" s="24"/>
      <c r="E105" s="24">
        <v>42.062</v>
      </c>
      <c r="F105" s="24"/>
      <c r="G105" s="24"/>
      <c r="H105" s="24"/>
      <c r="I105" s="24"/>
      <c r="J105" s="120"/>
      <c r="K105" s="81">
        <f t="shared" si="30"/>
        <v>42.062</v>
      </c>
      <c r="L105" s="24"/>
      <c r="M105" s="198"/>
      <c r="N105" s="198"/>
      <c r="O105" s="198"/>
      <c r="P105" s="24"/>
      <c r="Q105" s="24"/>
      <c r="R105" s="24"/>
      <c r="S105" s="120"/>
      <c r="T105" s="114">
        <f>SUM(L105:S105)</f>
        <v>0</v>
      </c>
      <c r="U105" s="133">
        <f t="shared" si="37"/>
        <v>42.062</v>
      </c>
    </row>
    <row r="106" spans="1:21" ht="18" customHeight="1">
      <c r="A106" s="144" t="s">
        <v>135</v>
      </c>
      <c r="B106" s="145" t="s">
        <v>136</v>
      </c>
      <c r="C106" s="28">
        <f aca="true" t="shared" si="38" ref="C106:T106">C107</f>
        <v>0</v>
      </c>
      <c r="D106" s="28">
        <f t="shared" si="38"/>
        <v>0</v>
      </c>
      <c r="E106" s="28">
        <f t="shared" si="38"/>
        <v>310.62</v>
      </c>
      <c r="F106" s="28">
        <f t="shared" si="38"/>
        <v>0</v>
      </c>
      <c r="G106" s="28">
        <f t="shared" si="38"/>
        <v>0</v>
      </c>
      <c r="H106" s="28">
        <f t="shared" si="38"/>
        <v>0</v>
      </c>
      <c r="I106" s="28">
        <f t="shared" si="38"/>
        <v>0</v>
      </c>
      <c r="J106" s="28">
        <f t="shared" si="38"/>
        <v>0</v>
      </c>
      <c r="K106" s="76">
        <f t="shared" si="38"/>
        <v>310.62</v>
      </c>
      <c r="L106" s="28">
        <f t="shared" si="38"/>
        <v>0</v>
      </c>
      <c r="M106" s="28">
        <f t="shared" si="38"/>
        <v>0</v>
      </c>
      <c r="N106" s="28">
        <f t="shared" si="38"/>
        <v>0</v>
      </c>
      <c r="O106" s="28">
        <f t="shared" si="38"/>
        <v>0</v>
      </c>
      <c r="P106" s="28">
        <f t="shared" si="38"/>
        <v>0</v>
      </c>
      <c r="Q106" s="28">
        <f t="shared" si="38"/>
        <v>0</v>
      </c>
      <c r="R106" s="28">
        <f t="shared" si="38"/>
        <v>0</v>
      </c>
      <c r="S106" s="28">
        <f t="shared" si="38"/>
        <v>0</v>
      </c>
      <c r="T106" s="76">
        <f t="shared" si="38"/>
        <v>0</v>
      </c>
      <c r="U106" s="29">
        <f t="shared" si="37"/>
        <v>310.62</v>
      </c>
    </row>
    <row r="107" spans="1:21" ht="38.25">
      <c r="A107" s="163" t="s">
        <v>137</v>
      </c>
      <c r="B107" s="175" t="s">
        <v>138</v>
      </c>
      <c r="C107" s="176"/>
      <c r="D107" s="65"/>
      <c r="E107" s="16">
        <v>310.62</v>
      </c>
      <c r="F107" s="65"/>
      <c r="G107" s="65"/>
      <c r="H107" s="65"/>
      <c r="I107" s="65"/>
      <c r="J107" s="115"/>
      <c r="K107" s="79">
        <f aca="true" t="shared" si="39" ref="K107:K112">SUM(C107:J107)</f>
        <v>310.62</v>
      </c>
      <c r="L107" s="199"/>
      <c r="M107" s="199"/>
      <c r="N107" s="199"/>
      <c r="O107" s="199"/>
      <c r="P107" s="199"/>
      <c r="Q107" s="199"/>
      <c r="R107" s="199"/>
      <c r="S107" s="201"/>
      <c r="T107" s="79">
        <f aca="true" t="shared" si="40" ref="T107:T112">SUM(L107:S107)</f>
        <v>0</v>
      </c>
      <c r="U107" s="202">
        <f t="shared" si="37"/>
        <v>310.62</v>
      </c>
    </row>
    <row r="108" spans="1:21" ht="51">
      <c r="A108" s="144" t="s">
        <v>139</v>
      </c>
      <c r="B108" s="145" t="s">
        <v>140</v>
      </c>
      <c r="C108" s="8">
        <f aca="true" t="shared" si="41" ref="C108:T108">C109</f>
        <v>768</v>
      </c>
      <c r="D108" s="8">
        <f t="shared" si="41"/>
        <v>32</v>
      </c>
      <c r="E108" s="8">
        <f t="shared" si="41"/>
        <v>569.1800000000001</v>
      </c>
      <c r="F108" s="8">
        <f t="shared" si="41"/>
        <v>0</v>
      </c>
      <c r="G108" s="8">
        <f t="shared" si="41"/>
        <v>0</v>
      </c>
      <c r="H108" s="8">
        <f t="shared" si="41"/>
        <v>0</v>
      </c>
      <c r="I108" s="8">
        <f t="shared" si="41"/>
        <v>0</v>
      </c>
      <c r="J108" s="8">
        <f t="shared" si="41"/>
        <v>0</v>
      </c>
      <c r="K108" s="76">
        <f t="shared" si="41"/>
        <v>1369.18</v>
      </c>
      <c r="L108" s="8">
        <f t="shared" si="41"/>
        <v>0</v>
      </c>
      <c r="M108" s="8">
        <f t="shared" si="41"/>
        <v>0</v>
      </c>
      <c r="N108" s="8">
        <f t="shared" si="41"/>
        <v>0</v>
      </c>
      <c r="O108" s="8">
        <f t="shared" si="41"/>
        <v>0</v>
      </c>
      <c r="P108" s="8">
        <f t="shared" si="41"/>
        <v>0</v>
      </c>
      <c r="Q108" s="8">
        <f t="shared" si="41"/>
        <v>0</v>
      </c>
      <c r="R108" s="8">
        <f t="shared" si="41"/>
        <v>0</v>
      </c>
      <c r="S108" s="8">
        <f t="shared" si="41"/>
        <v>0</v>
      </c>
      <c r="T108" s="76">
        <f t="shared" si="41"/>
        <v>0</v>
      </c>
      <c r="U108" s="29">
        <f t="shared" si="37"/>
        <v>1369.18</v>
      </c>
    </row>
    <row r="109" spans="1:21" ht="63.75">
      <c r="A109" s="163" t="s">
        <v>141</v>
      </c>
      <c r="B109" s="155" t="s">
        <v>142</v>
      </c>
      <c r="C109" s="65">
        <v>768</v>
      </c>
      <c r="D109" s="65">
        <v>32</v>
      </c>
      <c r="E109" s="16">
        <f>390+179.18</f>
        <v>569.1800000000001</v>
      </c>
      <c r="F109" s="65"/>
      <c r="G109" s="65"/>
      <c r="H109" s="65"/>
      <c r="I109" s="65"/>
      <c r="J109" s="115"/>
      <c r="K109" s="79">
        <f t="shared" si="39"/>
        <v>1369.18</v>
      </c>
      <c r="L109" s="199"/>
      <c r="M109" s="199"/>
      <c r="N109" s="199"/>
      <c r="O109" s="199"/>
      <c r="P109" s="199"/>
      <c r="Q109" s="199"/>
      <c r="R109" s="199"/>
      <c r="S109" s="201"/>
      <c r="T109" s="79">
        <f t="shared" si="40"/>
        <v>0</v>
      </c>
      <c r="U109" s="203">
        <f t="shared" si="37"/>
        <v>1369.18</v>
      </c>
    </row>
    <row r="110" spans="1:21" ht="24" customHeight="1">
      <c r="A110" s="144" t="s">
        <v>143</v>
      </c>
      <c r="B110" s="145" t="s">
        <v>144</v>
      </c>
      <c r="C110" s="8">
        <f aca="true" t="shared" si="42" ref="C110:T110">C111</f>
        <v>0</v>
      </c>
      <c r="D110" s="8">
        <f t="shared" si="42"/>
        <v>18768</v>
      </c>
      <c r="E110" s="8">
        <f t="shared" si="42"/>
        <v>4692</v>
      </c>
      <c r="F110" s="8">
        <f t="shared" si="42"/>
        <v>0</v>
      </c>
      <c r="G110" s="8">
        <f t="shared" si="42"/>
        <v>0</v>
      </c>
      <c r="H110" s="8">
        <f t="shared" si="42"/>
        <v>0</v>
      </c>
      <c r="I110" s="8">
        <f t="shared" si="42"/>
        <v>0</v>
      </c>
      <c r="J110" s="8">
        <f t="shared" si="42"/>
        <v>0</v>
      </c>
      <c r="K110" s="76">
        <f t="shared" si="42"/>
        <v>23460</v>
      </c>
      <c r="L110" s="8">
        <f t="shared" si="42"/>
        <v>0</v>
      </c>
      <c r="M110" s="8">
        <f t="shared" si="42"/>
        <v>0</v>
      </c>
      <c r="N110" s="8">
        <f t="shared" si="42"/>
        <v>0</v>
      </c>
      <c r="O110" s="8">
        <f t="shared" si="42"/>
        <v>0</v>
      </c>
      <c r="P110" s="8">
        <f t="shared" si="42"/>
        <v>0</v>
      </c>
      <c r="Q110" s="8">
        <f t="shared" si="42"/>
        <v>0</v>
      </c>
      <c r="R110" s="8">
        <f t="shared" si="42"/>
        <v>0</v>
      </c>
      <c r="S110" s="8">
        <f t="shared" si="42"/>
        <v>0</v>
      </c>
      <c r="T110" s="76">
        <f t="shared" si="42"/>
        <v>0</v>
      </c>
      <c r="U110" s="29">
        <f t="shared" si="37"/>
        <v>23460</v>
      </c>
    </row>
    <row r="111" spans="1:21" ht="76.5">
      <c r="A111" s="163" t="s">
        <v>145</v>
      </c>
      <c r="B111" s="155" t="s">
        <v>146</v>
      </c>
      <c r="C111" s="65">
        <v>0</v>
      </c>
      <c r="D111" s="65">
        <v>18768</v>
      </c>
      <c r="E111" s="16">
        <v>4692</v>
      </c>
      <c r="F111" s="65"/>
      <c r="G111" s="65"/>
      <c r="H111" s="65"/>
      <c r="I111" s="65"/>
      <c r="J111" s="115"/>
      <c r="K111" s="79">
        <f t="shared" si="39"/>
        <v>23460</v>
      </c>
      <c r="L111" s="199"/>
      <c r="M111" s="199"/>
      <c r="N111" s="199"/>
      <c r="O111" s="199"/>
      <c r="P111" s="199"/>
      <c r="Q111" s="199"/>
      <c r="R111" s="199"/>
      <c r="S111" s="201"/>
      <c r="T111" s="79">
        <f t="shared" si="40"/>
        <v>0</v>
      </c>
      <c r="U111" s="203">
        <f t="shared" si="37"/>
        <v>23460</v>
      </c>
    </row>
    <row r="112" spans="1:21" ht="18" customHeight="1">
      <c r="A112" s="177"/>
      <c r="B112" s="7" t="s">
        <v>147</v>
      </c>
      <c r="C112" s="8">
        <f aca="true" t="shared" si="43" ref="C112:J112">C11+C25+C27+C42+C77+C79+C85+C90+C92+C106+C108+C110</f>
        <v>52058.81005000001</v>
      </c>
      <c r="D112" s="8">
        <f t="shared" si="43"/>
        <v>449936.98994999996</v>
      </c>
      <c r="E112" s="8">
        <f t="shared" si="43"/>
        <v>58181.57789</v>
      </c>
      <c r="F112" s="8">
        <f t="shared" si="43"/>
        <v>0</v>
      </c>
      <c r="G112" s="8">
        <f t="shared" si="43"/>
        <v>0</v>
      </c>
      <c r="H112" s="8">
        <f t="shared" si="43"/>
        <v>0</v>
      </c>
      <c r="I112" s="8">
        <f t="shared" si="43"/>
        <v>0</v>
      </c>
      <c r="J112" s="8">
        <f t="shared" si="43"/>
        <v>36525</v>
      </c>
      <c r="K112" s="76">
        <f t="shared" si="39"/>
        <v>596702.37789</v>
      </c>
      <c r="L112" s="8">
        <f aca="true" t="shared" si="44" ref="L112:S112">L11+L25+L27+L42+L77+L79+L85+L90+L92+L106+L108+L110</f>
        <v>4158.922460000001</v>
      </c>
      <c r="M112" s="8">
        <f t="shared" si="44"/>
        <v>86644.48486</v>
      </c>
      <c r="N112" s="8">
        <f t="shared" si="44"/>
        <v>16157.30315</v>
      </c>
      <c r="O112" s="8">
        <f t="shared" si="44"/>
        <v>0</v>
      </c>
      <c r="P112" s="8">
        <f t="shared" si="44"/>
        <v>0</v>
      </c>
      <c r="Q112" s="8">
        <f t="shared" si="44"/>
        <v>0</v>
      </c>
      <c r="R112" s="8">
        <f t="shared" si="44"/>
        <v>0</v>
      </c>
      <c r="S112" s="8">
        <f t="shared" si="44"/>
        <v>18763.883</v>
      </c>
      <c r="T112" s="204">
        <f t="shared" si="40"/>
        <v>125724.59346999999</v>
      </c>
      <c r="U112" s="29">
        <f t="shared" si="37"/>
        <v>470977.78442000004</v>
      </c>
    </row>
    <row r="113" spans="2:8" ht="15.75">
      <c r="B113" s="178"/>
      <c r="C113" s="179"/>
      <c r="D113" s="179"/>
      <c r="E113" s="179"/>
      <c r="F113" s="180"/>
      <c r="G113" s="180"/>
      <c r="H113" s="181"/>
    </row>
    <row r="114" spans="2:9" ht="15.75">
      <c r="B114" s="182" t="s">
        <v>148</v>
      </c>
      <c r="C114" s="179"/>
      <c r="D114" s="179"/>
      <c r="E114" s="179"/>
      <c r="F114" s="180"/>
      <c r="G114" s="180"/>
      <c r="H114" s="180"/>
      <c r="I114" s="180"/>
    </row>
    <row r="115" spans="2:7" ht="15.75">
      <c r="B115" s="183" t="s">
        <v>149</v>
      </c>
      <c r="C115" s="183"/>
      <c r="D115" s="183"/>
      <c r="E115" s="179"/>
      <c r="F115" s="180"/>
      <c r="G115" s="180"/>
    </row>
    <row r="116" spans="2:10" ht="15.75">
      <c r="B116" s="209" t="s">
        <v>150</v>
      </c>
      <c r="C116" s="209"/>
      <c r="D116" s="209"/>
      <c r="E116" s="209"/>
      <c r="F116" s="180"/>
      <c r="G116" s="180"/>
      <c r="H116" s="210" t="s">
        <v>151</v>
      </c>
      <c r="I116" s="210"/>
      <c r="J116" s="210"/>
    </row>
    <row r="117" spans="2:8" ht="15.75">
      <c r="B117" s="178"/>
      <c r="C117" s="179"/>
      <c r="D117" s="179"/>
      <c r="E117" s="179"/>
      <c r="F117" s="180"/>
      <c r="G117" s="180"/>
      <c r="H117" s="181"/>
    </row>
    <row r="118" spans="2:8" ht="15.75">
      <c r="B118" s="178"/>
      <c r="C118" s="179"/>
      <c r="D118" s="179"/>
      <c r="E118" s="179"/>
      <c r="F118" s="180"/>
      <c r="G118" s="180"/>
      <c r="H118" s="181"/>
    </row>
    <row r="119" spans="2:9" ht="15.75">
      <c r="B119" s="182" t="s">
        <v>152</v>
      </c>
      <c r="C119" s="179"/>
      <c r="D119" s="179"/>
      <c r="E119" s="179"/>
      <c r="F119" s="184"/>
      <c r="G119" s="185"/>
      <c r="H119" s="185"/>
      <c r="I119" s="184"/>
    </row>
    <row r="120" spans="2:10" ht="15.75">
      <c r="B120" s="218" t="s">
        <v>153</v>
      </c>
      <c r="C120" s="218"/>
      <c r="D120" s="218"/>
      <c r="E120" s="218"/>
      <c r="F120" s="184"/>
      <c r="G120" s="185"/>
      <c r="H120" s="219" t="s">
        <v>154</v>
      </c>
      <c r="I120" s="219"/>
      <c r="J120" s="219"/>
    </row>
  </sheetData>
  <sheetProtection/>
  <mergeCells count="28">
    <mergeCell ref="Q1:U2"/>
    <mergeCell ref="P9:P10"/>
    <mergeCell ref="Q9:Q10"/>
    <mergeCell ref="R9:R10"/>
    <mergeCell ref="S9:S10"/>
    <mergeCell ref="A5:U5"/>
    <mergeCell ref="A6:U6"/>
    <mergeCell ref="T8:T10"/>
    <mergeCell ref="U8:U10"/>
    <mergeCell ref="B120:E120"/>
    <mergeCell ref="H120:J120"/>
    <mergeCell ref="A8:A10"/>
    <mergeCell ref="B8:B10"/>
    <mergeCell ref="C9:C10"/>
    <mergeCell ref="D9:D10"/>
    <mergeCell ref="G9:G10"/>
    <mergeCell ref="H9:H10"/>
    <mergeCell ref="I9:I10"/>
    <mergeCell ref="J9:J10"/>
    <mergeCell ref="E9:F9"/>
    <mergeCell ref="N9:O9"/>
    <mergeCell ref="B116:E116"/>
    <mergeCell ref="H116:J116"/>
    <mergeCell ref="K8:K10"/>
    <mergeCell ref="L9:L10"/>
    <mergeCell ref="M9:M10"/>
    <mergeCell ref="C8:J8"/>
    <mergeCell ref="L8:S8"/>
  </mergeCells>
  <printOptions/>
  <pageMargins left="0.11805555555555555" right="0.07847222222222222" top="0" bottom="0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Users</cp:lastModifiedBy>
  <cp:lastPrinted>2021-08-17T05:48:09Z</cp:lastPrinted>
  <dcterms:created xsi:type="dcterms:W3CDTF">2011-01-18T12:06:27Z</dcterms:created>
  <dcterms:modified xsi:type="dcterms:W3CDTF">2021-08-23T06:00:30Z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1C0E4AB346474307A7455D05607625D2</vt:lpwstr>
  </property>
</Properties>
</file>