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на 2024 год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<sst xmlns="http://schemas.openxmlformats.org/spreadsheetml/2006/main" count="339" uniqueCount="309">
  <si>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(МДОУ "Детский сад с. Храпово" Валуйского района Белгородской области)                                                              </t>
    </r>
  </si>
  <si>
    <t>13.1.2.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</si>
  <si>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(МДОУ детский сад с. Знаменка Валуйского района Белгородской области)</t>
    </r>
  </si>
  <si>
    <t>13.1.3.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</si>
  <si>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(МДОУ д/с № 9 комбинированного вида г. Валуйки Белгородской области)</t>
    </r>
  </si>
  <si>
    <t>13.1.4.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</si>
  <si>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(МДОУ д/с № 5 комбинированного вида г. Валуйки Белгородской области)                                                                    </t>
    </r>
  </si>
  <si>
    <t>13.1.5.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</si>
  <si>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(МДОУ "Д/с №4 "Калинка" г. Валуйки Белгородской области)                                                             </t>
    </r>
  </si>
  <si>
    <t>13.2.1.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</si>
  <si>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"Подгоренская ООШ" Валуйского района Белгородской области)                                                                       </t>
    </r>
  </si>
  <si>
    <t>13.2.2.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</si>
  <si>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"Принцевская СОШ" Валуйского района Белгородской области)                                                                         </t>
    </r>
  </si>
  <si>
    <t>13.2.3.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</si>
  <si>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"Тимоновская СОШ" Валуйского района Белгородской области)                                                                    </t>
    </r>
  </si>
  <si>
    <t>13.2.4.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</si>
  <si>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"Уразовская СОШ №1" Валуйского района Белгородской области)                                                                </t>
    </r>
  </si>
  <si>
    <t>13.2.5.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</si>
  <si>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"Казинская СОШ" Валуйского района Белгородской области)                                                                        </t>
    </r>
  </si>
  <si>
    <t>13.2.6.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</si>
  <si>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(МОУ "СОШ № 5" г. Валуйки Белгородской области)                                                                      </t>
    </r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</si>
  <si>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(МУДО "ДЭБЦ" г.Валуйки и Валуйского района)
      (0703 0730100590 612 241/2280200 Доп.ФК 07.01.04)                                                                 </t>
    </r>
  </si>
  <si>
    <r>
      <t xml:space="preserve">Разработка проектно-сметной документации на: "Строительство социально-культурного центра в с.Яблоново Валуйского городского округа"
</t>
    </r>
    <r>
      <rPr>
        <i/>
        <sz val="10"/>
        <rFont val="Times New Roman"/>
        <family val="1"/>
      </rPr>
      <t>(Адм. Вал.гор.округа)  
(0702 0720722110 244 226/2260405 Доп.ФК. 07.01.02)</t>
    </r>
  </si>
  <si>
    <t>10.9.1.</t>
  </si>
  <si>
    <t>10.9.2.</t>
  </si>
  <si>
    <t>10.9.3.</t>
  </si>
  <si>
    <t>10.9.4.</t>
  </si>
  <si>
    <t>10.9.5.</t>
  </si>
  <si>
    <t>10.9.6.</t>
  </si>
  <si>
    <t>10.9.7.</t>
  </si>
  <si>
    <t>Установка пешеходного ограждения по ул. Пролетарская в городе Валуйки
(Адм. Вал.гор.округа)</t>
  </si>
  <si>
    <t>Установка пешеходного ограждения по ул. Гагарина в городе Валуйки
(Адм. Вал.гор.округа)</t>
  </si>
  <si>
    <t>Установка пешеходного ограждения по ул. Фурманова в городе Валуйки
(Адм. Вал.гор.округа)</t>
  </si>
  <si>
    <t>Установка пешеходного ограждения по ул. Комсомольская в городе Валуйки
(Адм. Вал.гор.округа)</t>
  </si>
  <si>
    <t>Установка пешеходного ограждения по ул. 1 Мая в городе Валуйки
(Адм. Вал.гор.округа)</t>
  </si>
  <si>
    <t>Установка пешеходного ограждения по ул. М.Горького в городе Валуйки
(Адм. Вал.гор.округа)</t>
  </si>
  <si>
    <t>Установка пешеходного ограждения по ул. Никольская в городе Валуйки
(Адм. Вал.гор.округа)</t>
  </si>
  <si>
    <r>
      <t xml:space="preserve">Установка пешеходных ограждений вблизи образовательных учреждений
</t>
    </r>
    <r>
      <rPr>
        <i/>
        <sz val="10"/>
        <rFont val="Times New Roman"/>
        <family val="1"/>
      </rPr>
      <t>(Адм. Вал.гор.округа)
(0503 0230122220 244 310/3100304 Доп.ФК 05.03.12)</t>
    </r>
  </si>
  <si>
    <t>Утвержден 
решением Совета депутатов
 Валуйского городского округа                                                         от "22" декабря 2023 г. №38</t>
  </si>
  <si>
    <t xml:space="preserve">к решению Совета депутатов 
Валуйского городского округа
    от "31" мая 2024 г.   №81       </t>
  </si>
  <si>
    <t xml:space="preserve">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"31" мая 2024 г. №81</t>
  </si>
  <si>
    <t xml:space="preserve">Приложение 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</si>
  <si>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</si>
  <si>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2024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</si>
  <si>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</si>
  <si>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</si>
  <si>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</si>
  <si>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</si>
  <si>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Федеральный бюджет</t>
  </si>
  <si>
    <t>Областной бюджет</t>
  </si>
  <si>
    <t>Средствава территории                         (инвесторы)</t>
  </si>
  <si>
    <t>Внебюджетные источники</t>
  </si>
  <si>
    <t>за счет средств дорожного фонда</t>
  </si>
  <si>
    <t>1.</t>
  </si>
  <si>
    <t>Дорожное хозяйство (дорожные фонды)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</si>
  <si>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</si>
  <si>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</si>
  <si>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</si>
  <si>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</si>
  <si>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</si>
  <si>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</si>
  <si>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</si>
  <si>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</si>
  <si>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</si>
  <si>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</si>
  <si>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</si>
  <si>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</si>
  <si>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Обеспечение жильем детей сирот</t>
  </si>
  <si>
    <t>2.1.</t>
  </si>
  <si>
    <t>3.</t>
  </si>
  <si>
    <t>Капитальный ремонт</t>
  </si>
  <si>
    <t>3.1.</t>
  </si>
  <si>
    <t>Капитальный ремонт объектов образования</t>
  </si>
  <si>
    <t>4.</t>
  </si>
  <si>
    <t>Разработка ПСД, ПИР, проведение экспертиз</t>
  </si>
  <si>
    <t>4.1.</t>
  </si>
  <si>
    <t>4.2.</t>
  </si>
  <si>
    <t>4.3.</t>
  </si>
  <si>
    <t>4.4.</t>
  </si>
  <si>
    <t>4.6.</t>
  </si>
  <si>
    <t>5.</t>
  </si>
  <si>
    <t>Предоставление благоустроенных жилых помещений семьям с детьми-инвалидами</t>
  </si>
  <si>
    <t>5.1.</t>
  </si>
  <si>
    <t>6.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</si>
  <si>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</si>
  <si>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6.1.</t>
  </si>
  <si>
    <t>7.</t>
  </si>
  <si>
    <t>Реализация программы "Формирование современной городской среды на территории Валуйского городского округа"</t>
  </si>
  <si>
    <t>7.1.</t>
  </si>
  <si>
    <t>8.</t>
  </si>
  <si>
    <t>Осуществление деятельности в части работ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</si>
  <si>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8.1.</t>
  </si>
  <si>
    <t>9.</t>
  </si>
  <si>
    <t>Создание эффективных механизмов в области обращения с твердыми коммунальными отходами</t>
  </si>
  <si>
    <t>9.1.</t>
  </si>
  <si>
    <t>10.</t>
  </si>
  <si>
    <t>Благоустройстройство территории Валуйского городского округа</t>
  </si>
  <si>
    <t>10.1.</t>
  </si>
  <si>
    <t>10.2.</t>
  </si>
  <si>
    <t>10.3.</t>
  </si>
  <si>
    <t>10.4.</t>
  </si>
  <si>
    <t>11.</t>
  </si>
  <si>
    <t>Текущий ремонт зданий и сооружений</t>
  </si>
  <si>
    <t>11.1.</t>
  </si>
  <si>
    <t>Ремонт и благоустройство памятников</t>
  </si>
  <si>
    <t>11.1.1.</t>
  </si>
  <si>
    <t>11.1.2.</t>
  </si>
  <si>
    <t>11.1.3.</t>
  </si>
  <si>
    <t>11.1.4.</t>
  </si>
  <si>
    <t>11.1.5.</t>
  </si>
  <si>
    <t>11.2.</t>
  </si>
  <si>
    <t>Текущий ремонт объектов образования</t>
  </si>
  <si>
    <t>11.2.1.</t>
  </si>
  <si>
    <t>11.2.2.</t>
  </si>
  <si>
    <t>11.2.3.</t>
  </si>
  <si>
    <t>11.3.</t>
  </si>
  <si>
    <t>Текущий ремонт объектов культуры</t>
  </si>
  <si>
    <t>11.3.1.</t>
  </si>
  <si>
    <t>11.3.2.</t>
  </si>
  <si>
    <t>11.4.</t>
  </si>
  <si>
    <t>Текущий ремонт прочих объектов</t>
  </si>
  <si>
    <t>11.4.1.</t>
  </si>
  <si>
    <t>11.4.2.</t>
  </si>
  <si>
    <t>11.4.3.</t>
  </si>
  <si>
    <t>12.</t>
  </si>
  <si>
    <t>Обеспечение развития и укрепление материально-технической базы  объектов образования</t>
  </si>
  <si>
    <t>12.1.</t>
  </si>
  <si>
    <t>12.2.</t>
  </si>
  <si>
    <t>12.3.</t>
  </si>
  <si>
    <t>13.</t>
  </si>
  <si>
    <t>Оборудование учреждений образования автоматическими пожарными сигнализациями</t>
  </si>
  <si>
    <t>13.1.</t>
  </si>
  <si>
    <t>13.2.</t>
  </si>
  <si>
    <t>13.3.</t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</si>
  <si>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</si>
  <si>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</si>
  <si>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</si>
  <si>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</si>
  <si>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С.Л. Стрыжакова</t>
  </si>
  <si>
    <t>Профинансировано (тыс.руб.)</t>
  </si>
  <si>
    <t>остаток средств</t>
  </si>
  <si>
    <t>Средства территории                         (инвесторы)</t>
  </si>
  <si>
    <t>за счет средств дорожного                 фонда</t>
  </si>
  <si>
    <t xml:space="preserve"> бюджет Валуйского городского округа</t>
  </si>
  <si>
    <t>Остаток средств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</si>
  <si>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</si>
  <si>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</si>
  <si>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</si>
  <si>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>Перечень инициативных проектов в рамках инициативного бюджетирования Валуйского городского округа на 2024 год</t>
  </si>
  <si>
    <t>Бюджет Валуйского городского округа</t>
  </si>
  <si>
    <t>Инициативные платежи населения</t>
  </si>
  <si>
    <t>Благоустройство территории с установкой детского игрового оборудования по ул. Трудовая в г.Валуйки Белгородской области</t>
  </si>
  <si>
    <t>Устройство сетей наружного освещения ул. Саши Лысянского, пер. Куничева, пер. Блинова в г. Валуйки Белгородской области</t>
  </si>
  <si>
    <t>Благоустройство дворовой территории многоквартирного дома по адресу:  ул. Мира, с. Мандрово Валуйского городского округа Белгородской области</t>
  </si>
  <si>
    <t>Устройство сетей наружного освещения ул. 60-летия Белгородской области, ул. Елены Махортовой, ул. Коротковой, ул. Лакомовой, ул. Карагодина 
в г. Валуйки Белгородской области</t>
  </si>
  <si>
    <t>Благоустройство детской спортивной игровой площадки по ул. Григорьева, 
в г. Валуйки Белгородской области</t>
  </si>
  <si>
    <t>ИТОГО по инициативным проектам:</t>
  </si>
  <si>
    <t>3.1.1.1.</t>
  </si>
  <si>
    <t>3.1.1.2.</t>
  </si>
  <si>
    <t>3.1.3.1.</t>
  </si>
  <si>
    <t>3.1.3.2.</t>
  </si>
  <si>
    <t>10.5.</t>
  </si>
  <si>
    <t>10.6.</t>
  </si>
  <si>
    <t>10.7.</t>
  </si>
  <si>
    <t>9.2.</t>
  </si>
  <si>
    <t>4.7.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</si>
  <si>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</si>
  <si>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</si>
  <si>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</si>
  <si>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</si>
  <si>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</si>
  <si>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</si>
  <si>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</si>
  <si>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</si>
  <si>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</si>
  <si>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</si>
  <si>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</si>
  <si>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</si>
  <si>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</si>
  <si>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</si>
  <si>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</si>
  <si>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</si>
  <si>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</si>
  <si>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</si>
  <si>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(Бирючанская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</si>
  <si>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(Борчанская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</si>
  <si>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(Герасимовская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</si>
  <si>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(Двулученская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</si>
  <si>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(Казинская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</si>
  <si>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(Колосковская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</si>
  <si>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(Кукуевская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</si>
  <si>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(Мандровская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</si>
  <si>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(Насоновская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</si>
  <si>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(Новопетровская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</si>
  <si>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(Принцевская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</si>
  <si>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(Рождественская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</si>
  <si>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(Селивановская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</si>
  <si>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(Солотянская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</si>
  <si>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(Тимоновская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</si>
  <si>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(Уразовская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</si>
  <si>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(Шелаевская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</si>
  <si>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(Яблоновская т/а) </t>
    </r>
  </si>
  <si>
    <t>1.12.</t>
  </si>
  <si>
    <t>4.8.</t>
  </si>
  <si>
    <t>4.9.</t>
  </si>
  <si>
    <t>4.10.</t>
  </si>
  <si>
    <r>
      <t xml:space="preserve">Выполнение инженерно-изыскательных работ и подготовка проектно-сметной документации по объекту: "Строительство пристройки к МОУ "СОШ №3" г. Валуйки (пристройка мастерских и столовой)" (1этап) и подготовка проектно-сметной документации на капитальный ремонт МОУ "СОШ №3" г. Валуйки (основное здание) (2 этап)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(0702 0720722110 243 226/2260405 Доп.ФК 15.04.61)</t>
    </r>
  </si>
  <si>
    <t>1.13.</t>
  </si>
  <si>
    <t>1.14.</t>
  </si>
  <si>
    <t>11.4.4.</t>
  </si>
  <si>
    <t>11.4.5.</t>
  </si>
  <si>
    <t>11.4.6.</t>
  </si>
  <si>
    <t>11.4.7.</t>
  </si>
  <si>
    <r>
      <t xml:space="preserve">Ремонт  квартиры по ул. Локомотивная,17 г.Валуйки, Белгородская область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</si>
  <si>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квартиры №3 по ул. Восточная,108 г.Валуйки, Белгородская область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</si>
  <si>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квартиры №2 жилого многоквартирного дома по ул. Интернациональная,13Б в г.Валуйки, Белгородской области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</si>
  <si>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крыльца расположенного по адресу:  г.Валуйки, Белгородская область, ул. Интернациональная,13Б, кв.4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</si>
  <si>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t>11.4.8.</t>
  </si>
  <si>
    <t>11.4.9.</t>
  </si>
  <si>
    <r>
      <t xml:space="preserve">Ремонт жилого помещения, закрепленного за лицом из цисла детей, оставшихся безз попечения родителей, расположенного по адресу:  г.Валуйки, ул. Парковая,35/1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</si>
  <si>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входа в служебное помещение в доме №9 по 
ул. 1 Мая в г.Валуйки Белгородской области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</si>
  <si>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Капитальный ремонт МОУ "СОШ №1" г. Валуйки Белгородской области (второе здание)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
(0702 07203L7501 243 225/2250402 Доп.ФК 15.04.47) </t>
    </r>
  </si>
  <si>
    <r>
      <t xml:space="preserve">Капитальный ремонт МОУ "СОШ №1" г. Валуйки Белгородской области (второе здание)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
(0702 07203L7501 243 225/2250402 Доп.ФК 15.04.47) </t>
    </r>
  </si>
  <si>
    <r>
      <t xml:space="preserve">Ремонт автомобильной дороги по ул.Парковая в г.Валуйки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</si>
  <si>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Обустройство контейнерных площадок в г.Валуйки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
(0605 0230121430 244 226/2260200 Доп.ФК 06.00.00)</t>
    </r>
    <r>
      <rPr>
        <sz val="10"/>
        <color indexed="8"/>
        <rFont val="Times New Roman"/>
        <family val="1"/>
      </rPr>
      <t xml:space="preserve">    </t>
    </r>
  </si>
  <si>
    <r>
      <t xml:space="preserve">Обустройство контейнерных площадок в с.Казинка                                                                      </t>
    </r>
    <r>
      <rPr>
        <i/>
        <sz val="10"/>
        <color indexed="8"/>
        <rFont val="Times New Roman"/>
        <family val="1"/>
      </rPr>
      <t xml:space="preserve">(Казинская т/а) </t>
    </r>
    <r>
      <rPr>
        <sz val="10"/>
        <color indexed="8"/>
        <rFont val="Times New Roman"/>
        <family val="1"/>
      </rPr>
      <t xml:space="preserve">    
</t>
    </r>
    <r>
      <rPr>
        <i/>
        <sz val="10"/>
        <color indexed="8"/>
        <rFont val="Times New Roman"/>
        <family val="1"/>
      </rPr>
      <t xml:space="preserve">(0605 0230121430 244 226/2260200 Доп.ФК 06.00.00) </t>
    </r>
  </si>
  <si>
    <r>
      <t xml:space="preserve">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                </t>
    </r>
    <r>
      <rPr>
        <i/>
        <sz val="10"/>
        <rFont val="Times New Roman"/>
        <family val="1"/>
      </rPr>
      <t xml:space="preserve">                                               
 (МОУ "СОШ №1")  
(0702 07203L7502 612 241/3100304 Доп.ФК 07.01.02)                                                             </t>
    </r>
  </si>
  <si>
    <r>
      <t xml:space="preserve">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                </t>
    </r>
    <r>
      <rPr>
        <i/>
        <sz val="10"/>
        <rFont val="Times New Roman"/>
        <family val="1"/>
      </rPr>
      <t xml:space="preserve">                                               
 (МОУ "Тимоновская СОШ")  
(0702 07203L7502 612 241/3100304 Доп.ФК 07.01.02)                                                                    </t>
    </r>
  </si>
  <si>
    <r>
      <t xml:space="preserve">Обустройство площадки для дрессировки и выгула собак в г.Валуйки Белгородской области
</t>
    </r>
    <r>
      <rPr>
        <i/>
        <sz val="10"/>
        <rFont val="Times New Roman"/>
        <family val="1"/>
      </rPr>
      <t>(Адм. Вал.гор.округа)
(0503 0230122220 244 226/2260200 Доп.ФК 05.03.12)</t>
    </r>
  </si>
  <si>
    <r>
      <t xml:space="preserve">Устройство ограждения кладбища по ул.Заречная в с.Шелаево Валуйского городского округа Белгородской области
</t>
    </r>
    <r>
      <rPr>
        <i/>
        <sz val="10"/>
        <rFont val="Times New Roman"/>
        <family val="1"/>
      </rPr>
      <t>(Шелаевская т/а)
(0503 0230122220 244 225/2250200 Доп.ФК 05.03.01)</t>
    </r>
  </si>
  <si>
    <r>
      <t xml:space="preserve">Устройство ограждения кладбища в с. Казначеевка Валуйского городского округа Белгородской области
</t>
    </r>
    <r>
      <rPr>
        <i/>
        <sz val="10"/>
        <rFont val="Times New Roman"/>
        <family val="1"/>
      </rPr>
      <t>(Казинская т/а)
(0503 0230122220 244 225/2250200 Доп.ФК 05.03.01)</t>
    </r>
  </si>
  <si>
    <r>
      <t xml:space="preserve">Устройство ограждения кладбища в с. Казинка Валуйского городского округа Белгородской области
</t>
    </r>
    <r>
      <rPr>
        <i/>
        <sz val="10"/>
        <rFont val="Times New Roman"/>
        <family val="1"/>
      </rPr>
      <t>(Казинская т/а)
(0503 0230122220 244 225/2250200 Доп.ФК 05.03.01)</t>
    </r>
  </si>
  <si>
    <r>
      <t xml:space="preserve">Капитальный ремонт МОУ "Тимоновская СОШ" с. Тимоново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
(0702 07203L7501 243 225/2250402 Доп.ФК 15.04.53)  </t>
    </r>
  </si>
  <si>
    <r>
      <t xml:space="preserve">Ремонт тротуаров на территории Валуйского городского округа
</t>
    </r>
    <r>
      <rPr>
        <i/>
        <sz val="10"/>
        <rFont val="Times New Roman"/>
        <family val="1"/>
      </rPr>
      <t xml:space="preserve">(Адм. Вал.гор.округа)  
(0409 0310120580 244 225/2250200 Доп.ФК 04.06.02) </t>
    </r>
  </si>
  <si>
    <r>
      <t xml:space="preserve">Ремонт автомобильной дороги по ул. 1 Мая в г.Валуйки Белгородской области    
</t>
    </r>
    <r>
      <rPr>
        <i/>
        <sz val="10"/>
        <rFont val="Times New Roman"/>
        <family val="1"/>
      </rPr>
      <t>(Адм. Вал.гор.округа)   
(0409 0310172140/03101S2140/0310120580 244 225/2250200 Доп.ФК 04.06.02)</t>
    </r>
  </si>
  <si>
    <r>
      <t xml:space="preserve">Ремонт автомобильной дороги пер.Сибирский в с.Овчинниково Валуйского городского округа Белгородской области
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</si>
  <si>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Ремонт автомобильной дороги по ул.Ленина в п.Уразово Валуйского городского округа Белгородской области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</si>
  <si>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Ремонт автомобильной дороги по ул.3-го Интернационала в п.Уразово Валуйского городского округа Белгородской области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</si>
  <si>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Ремонт автомобильной дороги от подсобного хозяйства 
(с. Новая Симоновка) до Свято-Николаевского собора
 (мкр. Раздолье)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</si>
  <si>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244 226/2260405  Доп.ФК 04.06.02)</t>
    </r>
  </si>
  <si>
    <r>
      <t xml:space="preserve">Выполнение работ в области обеспечения транспортной безопасности объектов транспортной инфраструктуры дорожного хозяйства на территории Валуйского городского округа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244 226/2260405  Доп.ФК 04.06.02)</t>
    </r>
  </si>
  <si>
    <r>
      <t xml:space="preserve">Ремонт автомобильных дорог по ул. Березовая и по 
ул. Рябиновая в г.Валуйки Белгородской области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
(0409 0310120580 244 225/2250200 Доп.ФК 04.06.02)</t>
    </r>
  </si>
  <si>
    <r>
      <t xml:space="preserve">Обеспечение жильем молодых семей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
(1004 02106L4970 322 262/2620110 Доп.ФК 10.01.01)</t>
    </r>
  </si>
  <si>
    <r>
      <t xml:space="preserve">Реализация мероприятий по обеспечению жильем семей, имеющих детей-инвалидов, нуждающихся в улучшении жилищных условий            </t>
    </r>
    <r>
      <rPr>
        <sz val="10"/>
        <color indexed="10"/>
        <rFont val="Times New Roman"/>
        <family val="1"/>
      </rPr>
      <t xml:space="preserve">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
</t>
    </r>
    <r>
      <rPr>
        <i/>
        <sz val="10"/>
        <rFont val="Times New Roman"/>
        <family val="1"/>
      </rPr>
      <t>(1004 0211673900/02116S3900 412 310/3100400 
Доп.ФК 10.00.00)</t>
    </r>
  </si>
  <si>
    <r>
      <t xml:space="preserve">Работы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                                                                 
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
</t>
    </r>
    <r>
      <rPr>
        <i/>
        <sz val="10"/>
        <rFont val="Times New Roman"/>
        <family val="1"/>
      </rPr>
      <t>(1004 0931171520 323 226/2260405 Доп.ФК 10.00.00)</t>
    </r>
  </si>
  <si>
    <r>
      <t xml:space="preserve">Реализация мероприятий программ формирования современной городской среды                                                                                                                                                 
       </t>
    </r>
    <r>
      <rPr>
        <i/>
        <sz val="10"/>
        <rFont val="Times New Roman"/>
        <family val="1"/>
      </rPr>
      <t>(Адм. Вал.гор.округа) 
(0503 131F255550 244 226/2260200 Доп.ФК 05.03.12)</t>
    </r>
    <r>
      <rPr>
        <sz val="10"/>
        <rFont val="Times New Roman"/>
        <family val="1"/>
      </rPr>
      <t xml:space="preserve">                 </t>
    </r>
  </si>
  <si>
    <r>
      <t xml:space="preserve">Ремонт 2-го этажа и входной группы здания Уразовской модельной детской библиотеки 
</t>
    </r>
    <r>
      <rPr>
        <i/>
        <sz val="10"/>
        <color indexed="8"/>
        <rFont val="Times New Roman"/>
        <family val="1"/>
      </rPr>
      <t>(МКУК "Валуйская ЦБС")
(0801 0810100590 612 241/2250401 Доп.ФК.08.01.02)</t>
    </r>
  </si>
  <si>
    <r>
      <t xml:space="preserve">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 объект культурного наследия регионального значения: "Народный дом" по адресу: Белгородская область, Валуйский городской округ, г.Валуйки, ул. Гагарина, д.15 (Бассейн "Волна")
</t>
    </r>
    <r>
      <rPr>
        <i/>
        <sz val="10"/>
        <rFont val="Times New Roman"/>
        <family val="1"/>
      </rPr>
      <t xml:space="preserve">(Адм. Вал.гор.округа)  
(1105 1010122110 243 226/2260405 Доп.ФК 11.00.00) </t>
    </r>
  </si>
  <si>
    <r>
      <t xml:space="preserve">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 объект культурного наследия регионального значения  "Женская гимназия, 1865 год»по адресу: Белгородская область, Валуйский район, п.Уразово, ул. 9-го Января,3"
</t>
    </r>
    <r>
      <rPr>
        <i/>
        <sz val="10"/>
        <rFont val="Times New Roman"/>
        <family val="1"/>
      </rPr>
      <t xml:space="preserve">(Адм. Вал.гор.округа)  
(0801 0820222110 244 226/2260405 Доп.ФК 15.04.43) </t>
    </r>
  </si>
  <si>
    <r>
      <t xml:space="preserve">Проведение проверки достоверности определения сметной стоимости  в рамках  реализации программы "Формирование современной городской среды"   
</t>
    </r>
    <r>
      <rPr>
        <i/>
        <sz val="10"/>
        <rFont val="Times New Roman"/>
        <family val="1"/>
      </rPr>
      <t xml:space="preserve">(Адм. Вал.гор.округа)  
(0503 1310125550 244 226/2260405 Доп.ФК 05.03.12) </t>
    </r>
  </si>
  <si>
    <r>
      <t xml:space="preserve">Проведение работ по сохранению объекта культурного наследия регионального значения"Братская могила советских воинов, погибших в боях с фашистскими захватчиками в 1943 году. Захоронено  16 человек, имена установлены. Скульптура советского воина с автоматом", расположенного по адресу: Белгородская область, Валуйский район, с.Лавы, на территории ООО "Красная поляна" (ж/б конструкция)
</t>
    </r>
    <r>
      <rPr>
        <i/>
        <sz val="10"/>
        <color indexed="8"/>
        <rFont val="Times New Roman"/>
        <family val="1"/>
      </rPr>
      <t xml:space="preserve">(Колосковская т/а)
(0804 0840622990 244 225/2250401,226/2260405 
Доп.ФК 15.04.79) </t>
    </r>
  </si>
  <si>
    <r>
      <t xml:space="preserve">Разработка рабочей документации и авторский надзор по объекту: "Братская могила советских воинов, погибших в боях с фашистскими захватчиками в 1943 году. Захоронено  46 человек, имена установлены  15 человек. Скульптура советского воина ", расположенного по адресу: Белгородская область, Валуйский район, с.Рождествено, ул.Ленина,49
</t>
    </r>
    <r>
      <rPr>
        <i/>
        <sz val="10"/>
        <rFont val="Times New Roman"/>
        <family val="1"/>
      </rPr>
      <t xml:space="preserve">(Рождественская т/а)  
(0804 0840622990 244 226/2260405 Доп.ФК 15.04.78) </t>
    </r>
  </si>
  <si>
    <r>
      <t xml:space="preserve">Укрепления материально-технической базы  
МБУ ДО "ДШИ №2" г.Валуйки </t>
    </r>
    <r>
      <rPr>
        <sz val="10"/>
        <color indexed="8"/>
        <rFont val="Times New Roman"/>
        <family val="1"/>
      </rPr>
      <t xml:space="preserve">                  </t>
    </r>
    <r>
      <rPr>
        <i/>
        <sz val="10"/>
        <color indexed="8"/>
        <rFont val="Times New Roman"/>
        <family val="1"/>
      </rPr>
      <t xml:space="preserve">                                                (МБУ ДО "ДШИ №2" г.Валуйки)</t>
    </r>
    <r>
      <rPr>
        <i/>
        <sz val="10"/>
        <color indexed="10"/>
        <rFont val="Times New Roman"/>
        <family val="1"/>
      </rPr>
      <t xml:space="preserve">     
</t>
    </r>
    <r>
      <rPr>
        <i/>
        <sz val="10"/>
        <rFont val="Times New Roman"/>
        <family val="1"/>
      </rPr>
      <t xml:space="preserve">(0703 0850100590 612 241/3100304 Доп.ФК 07.01.05)   </t>
    </r>
    <r>
      <rPr>
        <i/>
        <sz val="10"/>
        <color indexed="10"/>
        <rFont val="Times New Roman"/>
        <family val="1"/>
      </rPr>
      <t xml:space="preserve">       </t>
    </r>
  </si>
  <si>
    <r>
      <t xml:space="preserve">Ремонт кровли здания МДОУ детский сад с.Тимоново Валуйского района Белгородской области
</t>
    </r>
    <r>
      <rPr>
        <i/>
        <sz val="10"/>
        <color indexed="8"/>
        <rFont val="Times New Roman"/>
        <family val="1"/>
      </rPr>
      <t>(МДОУ детский сад с.Тимоново)
(0701 0710100590 612 241/2250401 Доп.ФК.07.01.01)</t>
    </r>
  </si>
  <si>
    <r>
      <t xml:space="preserve">Ремонтно восстановительные работы по ДС "Калинка" Валуйского городского округа
</t>
    </r>
    <r>
      <rPr>
        <i/>
        <sz val="10"/>
        <color indexed="8"/>
        <rFont val="Times New Roman"/>
        <family val="1"/>
      </rPr>
      <t>(МДОУ ДС "Калинка")
(0701 0710100590 612 241/2250401 Доп.ФК.07.01.01)</t>
    </r>
  </si>
  <si>
    <r>
      <t xml:space="preserve">Замена участка тепловой сети по МОУ "Рождественская СОШ" (устранение повреждений очаговой коррозии трубопровода)
</t>
    </r>
    <r>
      <rPr>
        <i/>
        <sz val="10"/>
        <rFont val="Times New Roman"/>
        <family val="1"/>
      </rPr>
      <t>(МОУ "Рождественская СОШ")
(0702 0720200590 611 241/22500303 Доп.ФК.07.01.02)</t>
    </r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</si>
  <si>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(Учреждения дошкольного образования)
(0701 0710100590 612 241/2280200 Доп.ФК 07.01.01)                                                                       </t>
    </r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</si>
  <si>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(Учреждения общего образования)  
(0702 0720200590 612 241/2280200 Доп.ФК 07.01.02)                                                                        </t>
    </r>
  </si>
  <si>
    <t>Устройство детской игровой площадки по адресу: с.Новая Симоновка пер. Гвардейский Валуйского городского округа Белгородской области</t>
  </si>
  <si>
    <t>Благоустройство детской спортивной игровой площадки по ул. Рабочая, 35,45 в п. Уразово Валуйского городского округа Белгородской области</t>
  </si>
  <si>
    <r>
      <t xml:space="preserve">Ремонт автомобильной дороги по пер.Гвардейский в с.Новая Симоновка Валуйского городского округа Белгородской области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</si>
  <si>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Выполнение аварийного ямочного ремонта литым асфальтобетоном на территории Валуйского городского округа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244 225/2250200 Доп.ФК 04.06.01)</t>
    </r>
  </si>
  <si>
    <r>
      <t xml:space="preserve">Выполнение проектно-изыскательских работ для устройства инженерной защиты части территории города Валуйки Белгородской области от подтопления 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0230122220 244 226/2260405 Доп.ФК 05.03.12) </t>
    </r>
  </si>
  <si>
    <r>
      <t xml:space="preserve">Проведение проверки достоверности определения сметной стоимости  по объекту: "Капитальный ремонт здания муниципального бюджетного учреждения дополнительного образования "Детская школа искусств №2" г. Валуйки Валуйского городского округа   
</t>
    </r>
    <r>
      <rPr>
        <i/>
        <sz val="10"/>
        <rFont val="Times New Roman"/>
        <family val="1"/>
      </rPr>
      <t xml:space="preserve">(Адм. Вал.гор.округа)  
(0703 0850122110 244 226/2250405 
Доп.ФК 30.02.00/07.01.05) </t>
    </r>
  </si>
  <si>
    <r>
      <t xml:space="preserve">Капитальный ремонт моста через р. Валуй на ул.Демьяна Бедного в г.Валуйки     
</t>
    </r>
    <r>
      <rPr>
        <i/>
        <sz val="10"/>
        <rFont val="Times New Roman"/>
        <family val="1"/>
      </rPr>
      <t>(Адм. Вал.гор.округа)   
0409 031R1R0030 243 225/2250200 Доп.ФК 04.06.04)</t>
    </r>
  </si>
  <si>
    <t>4.11.</t>
  </si>
  <si>
    <r>
      <t xml:space="preserve">Разработка рабочей документации и авторский надзор по объекту культурного наследия местного значения: "Первая публичная библиотека г.Валуйки", расположенного по адресу: Белгородская область, Валуйский городской округ, улица 9 января, д.3 (Ремонт системы водоотведения кровли)
</t>
    </r>
    <r>
      <rPr>
        <i/>
        <sz val="10"/>
        <rFont val="Times New Roman"/>
        <family val="1"/>
      </rPr>
      <t xml:space="preserve">(МБУК "Валуйская ЦБС")  
(0801 0810100590 611 241/2260405 Доп.ФК 30.02.00) </t>
    </r>
  </si>
  <si>
    <t>4.12.</t>
  </si>
  <si>
    <r>
      <t xml:space="preserve">Разработка рабочей документации и авторский надзор по объекту культурного наследия федерального значения: "Дом, в котором в 1901 году родился генерал армии Ватутин Николай Федорович. В доме - мемориальный музей Н.Ф.Ватутина", по адресу: Белгородская область, Валуйский район, с.Ватутино, ул.Меловая,28 (ремонт кровельного покрытия (замена камыша))
</t>
    </r>
    <r>
      <rPr>
        <i/>
        <sz val="10"/>
        <rFont val="Times New Roman"/>
        <family val="1"/>
      </rPr>
      <t xml:space="preserve">(МКУК "ВИХМ")  
(0801 0820100590 244 226/2260405 Доп.ФК 30.02.00) </t>
    </r>
  </si>
  <si>
    <t>".</t>
  </si>
  <si>
    <t>" Приложение 1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</si>
  <si>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12 человек, имена установлены 5 человек. Скульптура советского воина с поднятым автоматом",  расположенного по адресу: Белгородская область, Валуйский район, с.Конопляновка, ул.Молодежная,45а
</t>
    </r>
    <r>
      <rPr>
        <i/>
        <sz val="10"/>
        <rFont val="Times New Roman"/>
        <family val="1"/>
      </rPr>
      <t xml:space="preserve">(Принцевская т/а)
(0804 0840622990 244 225/2250401,226/2260405 
Доп.ФК 15.04.77) </t>
    </r>
  </si>
  <si>
    <t>11.1.6.1.</t>
  </si>
  <si>
    <t>11.1.6.2.</t>
  </si>
  <si>
    <r>
      <t xml:space="preserve">Капитальный ремонт братской могилы советских воинов, погибших в боях с фашисткими захватчиками в 1943 году. Захоронено 46 человек, установлены имена 15 человек. Скульптура советского воина. Валуйский район, с. Рождествено, ул. Ленина, 49
</t>
    </r>
    <r>
      <rPr>
        <i/>
        <sz val="10"/>
        <color indexed="8"/>
        <rFont val="Times New Roman"/>
        <family val="1"/>
      </rPr>
      <t xml:space="preserve">(Адм. Вал.гор.округа) 
(0503 08601L2990 243 225/2250402 Доп.ФК 05.60.13)  </t>
    </r>
  </si>
  <si>
    <r>
      <t xml:space="preserve">Капитальный ремонт братской могилы советских воинов, погибших в боях с фашисткими захватчиками в 1943 году. Захоронено 46 человек, установлены имена 15 человек. Скульптура советского воина. Валуйский район, с. Рождествено, ул. Ленина, 49
</t>
    </r>
    <r>
      <rPr>
        <i/>
        <sz val="10"/>
        <color indexed="8"/>
        <rFont val="Times New Roman"/>
        <family val="1"/>
      </rPr>
      <t xml:space="preserve">(Адм. Вал.гор.округа) 
(0503 0860122990 243 225/2250402 Доп.ФК 05.60.13)  </t>
    </r>
  </si>
  <si>
    <r>
      <t xml:space="preserve">Капитальный ремонт здания МБУ ДО "Детская школа искусств №2"в г. Валуйки Белгородской области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(0703 085А155198 243 225/2250402 Доп.ФК 15.04.45) </t>
    </r>
  </si>
  <si>
    <r>
      <t xml:space="preserve">Изготовление проектов организации дорожного движения территориальных администраций Валуйского городского округа 
</t>
    </r>
    <r>
      <rPr>
        <i/>
        <sz val="10"/>
        <rFont val="Times New Roman"/>
        <family val="1"/>
      </rPr>
      <t xml:space="preserve"> (0409 0310320570 244 226/2260405 Доп.ФК 30.02.00,04.06.02) </t>
    </r>
  </si>
  <si>
    <t>1.15.</t>
  </si>
  <si>
    <r>
      <t xml:space="preserve">Ремонт асфальтобетонного покрытия дворовой территории многоквартирных домов №7, 9 по ул. Победы в с.Соболевка Валуйского городского округа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0310120580 244 225/2250200 Доп.ФК 30.02.00)</t>
    </r>
  </si>
  <si>
    <r>
  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  </r>
    <r>
      <rPr>
        <sz val="10"/>
        <color indexed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(1004 0210770820 412 310/3100400 Доп.ФК 10.00.00)                                                                              </t>
    </r>
  </si>
  <si>
    <t>3.1.2.1.</t>
  </si>
  <si>
    <t>3.1.2.2.</t>
  </si>
  <si>
    <r>
      <t xml:space="preserve">Капитальный ремонт здания МБУ ДО "Детская школа искусств №2"в г. Валуйки Белгородской области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(0703 0850122110 243 225/2250402 Доп.ФК 30.02.00) </t>
    </r>
  </si>
  <si>
    <t>4.5.</t>
  </si>
  <si>
    <r>
      <t xml:space="preserve">Проведение проверки достоверности определения сметной стоимости и прохождение государственной экспертизы по объектам: "Капитальный ремонт зданий сельских Домов культуры и Центров культурного развития Валуйского городского округа Белгородской области" 
</t>
    </r>
    <r>
      <rPr>
        <i/>
        <sz val="10"/>
        <rFont val="Times New Roman"/>
        <family val="1"/>
      </rPr>
      <t xml:space="preserve"> (Адм. Вал.гор.округа)       
(0801 0830522110 244 226/2260405 Доп.ФК 08.00.00)</t>
    </r>
  </si>
  <si>
    <r>
      <t xml:space="preserve">Проведение проверки достоверности определения сметной стоимости и прохождение государственной экспертизы по объекту: "Благоустройство общественной территории парка "Молодежный" в г.Валуйки Белгородской области"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0230122220 244 226/2260405 Доп.ФК 05.03.12) </t>
    </r>
  </si>
  <si>
    <t>4.13.</t>
  </si>
  <si>
    <r>
      <t xml:space="preserve">Проведение проверки достоверности определения сметной стоимости и прохождение государственной экспертизы по объекту: "Благоустройство общественной территории парк "Лукоморье" в городе Валуйки"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0230122220 244 226/2260405 Доп.ФК 05.03.12) </t>
    </r>
  </si>
  <si>
    <t>4.14.</t>
  </si>
  <si>
    <r>
      <t xml:space="preserve">Проведение проверки достоверности определения сметной стоимости и прохождение государственной экспертизы по объекту: "Благоустройство места массового отдыха на водном объекте в г.Валуйки на р.Оскол "Ангелок""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0230122220 244 226/2260405 Доп.ФК 05.03.12) </t>
    </r>
  </si>
  <si>
    <t>4.15.</t>
  </si>
  <si>
    <r>
      <t xml:space="preserve">Проведение проверки достоверности определения сметной стоимости и прохождение государственной экспертизы по объекту: "Капитальный ремонт братской могилы советских воинов, погибших в боях с фашисткими захватчиками в 1943 году. Захоронено 46 человек, установлены имена 15 человек. Скульптура советского воина. Валуйский район, с. Рождествено, ул. Ленина, 49"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0860122990 244 226/2260405 Доп.ФК 30.02.00) </t>
    </r>
  </si>
  <si>
    <r>
      <t xml:space="preserve">Благоустройство дворовой территории, расположенной по адресу ул. Космонавтов, 9 и 9а в г. Валуйки с установкой детского игрового оборудования    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</si>
  <si>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r>
      <t xml:space="preserve">Устройство водоотвода по ул.Пушкина в с.Рождествено Валуйского городского округа Белгородской области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</si>
  <si>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r>
      <t xml:space="preserve">Устройство лестничного марша ул. Ст. Разина, ул. К.Маркса 
г. Валуйки Белгородской области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</si>
  <si>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t>10.8.</t>
  </si>
  <si>
    <r>
      <t xml:space="preserve">Устройство пешеходной дорожки в с. Агошевка
</t>
    </r>
    <r>
      <rPr>
        <i/>
        <sz val="10"/>
        <color indexed="8"/>
        <rFont val="Times New Roman"/>
        <family val="1"/>
      </rPr>
      <t>(Адм. Вал.гор.округа)
(0503 0230122220 244 226/2260200 Доп.ФК 30.02.00)</t>
    </r>
  </si>
  <si>
    <t>10.9.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</si>
  <si>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4 человека, имена установлены. Скульптура советского воин с автоматом", расположенного по адресу: Белгородская область, Валуйский район, с.Кукуевка, ул.Центральная, 70а
</t>
    </r>
    <r>
      <rPr>
        <i/>
        <sz val="10"/>
        <rFont val="Times New Roman"/>
        <family val="1"/>
      </rPr>
      <t xml:space="preserve">(Кукуевская т/а) 
(0804 0840622990 244 225/2250401,226/2260405 
Доп.ФК 15.04.75/30.02.00) </t>
    </r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</si>
  <si>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50 человек,  имена установлены 16 человек. Скульптура советского воина", расположенного по адресу: Белгородская область, Валуйский район, с.Принцевка, ул.Центральная,185
</t>
    </r>
    <r>
      <rPr>
        <i/>
        <sz val="10"/>
        <rFont val="Times New Roman"/>
        <family val="1"/>
      </rPr>
      <t>(Принцевская т/а)
(0804 0840622990 244 225/2250401,226/2260405 
Доп.ФК 15.04.76/30.02.00)</t>
    </r>
  </si>
  <si>
    <r>
      <t xml:space="preserve">Проведение работ по сохранению объекта культурного наследия регионального значения"Братская могила советских воинов, погибших в боях с фашистскими захватчиками в 1943 году. Захоронено  56 человек,  в том числе Герой Советского союза старший лейтенант И.А. Григорьев. Скульптура советского воина с венком, вечный огонь", расположенного по адресу: Белгородская область, Валуйский район, г.Валуйки ул.Клубная (ремонт скульптуры и 2-х барельефов)
</t>
    </r>
    <r>
      <rPr>
        <i/>
        <sz val="10"/>
        <rFont val="Times New Roman"/>
        <family val="1"/>
      </rPr>
      <t>(МБУ "Валуйское благоустройство")
(0804 0840622990 612 241/2250401,2260405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Доп.ФК 15.04.80) </t>
    </r>
  </si>
  <si>
    <r>
      <t>Выполнение работ по сохранению объекта  культурного наследия федерального значения "Дом, в котором в 1901 году родился генерал армии Ватутин Николай Федорович. В доме мемориальный музей Н.Ф. Ватутина", расположенного по адресу; Белгородская область, Валуйский городской округ, с.Ватутино, ул. Меловая,28 (Замена камышовой крыши здания) (</t>
    </r>
    <r>
      <rPr>
        <i/>
        <sz val="10"/>
        <rFont val="Times New Roman"/>
        <family val="1"/>
      </rPr>
      <t>МКУК "ВИХМ")
(0801 0820100590 244 225/2250401 Доп.ФК.08.01.01)</t>
    </r>
  </si>
  <si>
    <r>
      <t xml:space="preserve">Замена системы отопления в гаражных помещениях, расположенных по адресу: Белгородская область, г.Валуйки, 
ул.Пролетарская, 16
</t>
    </r>
    <r>
      <rPr>
        <i/>
        <sz val="10"/>
        <rFont val="Times New Roman"/>
        <family val="1"/>
      </rPr>
      <t xml:space="preserve">(Адм. Вал.гор.округа)
(0113 9990020810 244 225/2250401 Доп.ФК 01.00.00)  </t>
    </r>
    <r>
      <rPr>
        <sz val="10"/>
        <rFont val="Times New Roman"/>
        <family val="1"/>
      </rPr>
      <t xml:space="preserve">  </t>
    </r>
  </si>
  <si>
    <r>
      <t xml:space="preserve">Ремонт кровли гаражей, расположенных по адресу: Белгородская область, г.Валуйки, 
ул.Пролетарская, 16
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(0113 9990020810 244 225/2250401 Доп.ФК 01.00.00)</t>
    </r>
  </si>
  <si>
    <r>
      <t xml:space="preserve">Замена системы отопления в гаражных помещениях, расположенных по адресу: Белгородская область, г.Валуйки, 
ул.Пролетарская, 14
</t>
    </r>
    <r>
      <rPr>
        <i/>
        <sz val="10"/>
        <rFont val="Times New Roman"/>
        <family val="1"/>
      </rPr>
      <t>(Адм. Вал.гор.округа)  
(0113 9990020810 244 225/2250401 Доп.ФК 01.00.00)</t>
    </r>
  </si>
  <si>
    <t>11.4.10.</t>
  </si>
  <si>
    <r>
      <t xml:space="preserve">Выполнение работ по "Облицовке фасада здания АБК по ул. Соколова,1 в г.Валуйки Белгородской области
</t>
    </r>
    <r>
      <rPr>
        <i/>
        <sz val="10"/>
        <rFont val="Times New Roman"/>
        <family val="1"/>
      </rPr>
      <t xml:space="preserve"> (Адм. Вал.гор.округа)                    
   (0113 9990020810 244 226/2260405 Доп.ФК 30.02.00)           </t>
    </r>
  </si>
  <si>
    <t>13.1.1.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</si>
</sst>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.00_);_(&quot;$&quot;* \(#,##0.00\);_(&quot;$&quot;* &quot;-&quot;??_);_(@_)"/>
    <numFmt numFmtId="185" formatCode="0.0"/>
    <numFmt numFmtId="186" formatCode="#\ ##0.0"/>
    <numFmt numFmtId="187" formatCode="#\ ##0.0_ "/>
    <numFmt numFmtId="188" formatCode="#\ ##0.00_ "/>
    <numFmt numFmtId="189" formatCode="##\ ##0.0"/>
    <numFmt numFmtId="190" formatCode="###\ ##0.0"/>
    <numFmt numFmtId="191" formatCode="####\ ##0.0"/>
    <numFmt numFmtId="192" formatCode="#####\ ##0.0"/>
    <numFmt numFmtId="193" formatCode="######\ ##0.0"/>
    <numFmt numFmtId="194" formatCode="#######\ ##0.0"/>
    <numFmt numFmtId="195" formatCode="########\ ##0.0"/>
    <numFmt numFmtId="196" formatCode="#,##0.000"/>
    <numFmt numFmtId="197" formatCode="#,##0.0000"/>
    <numFmt numFmtId="198" formatCode="#,##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i/>
      <sz val="9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21" borderId="7" applyNumberFormat="0" applyAlignment="0" applyProtection="0"/>
    <xf numFmtId="0" fontId="1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 horizontal="center" vertical="center" wrapText="1"/>
    </xf>
    <xf numFmtId="185" fontId="5" fillId="25" borderId="13" xfId="0" applyNumberFormat="1" applyFont="1" applyFill="1" applyBorder="1" applyAlignment="1">
      <alignment horizontal="center" vertical="center" wrapText="1"/>
    </xf>
    <xf numFmtId="185" fontId="5" fillId="25" borderId="12" xfId="0" applyNumberFormat="1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85" fontId="8" fillId="0" borderId="15" xfId="0" applyNumberFormat="1" applyFont="1" applyFill="1" applyBorder="1" applyAlignment="1">
      <alignment horizontal="center" vertical="center" wrapText="1"/>
    </xf>
    <xf numFmtId="185" fontId="8" fillId="0" borderId="14" xfId="0" applyNumberFormat="1" applyFont="1" applyFill="1" applyBorder="1" applyAlignment="1">
      <alignment horizontal="center" vertical="center" wrapText="1"/>
    </xf>
    <xf numFmtId="185" fontId="8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185" fontId="42" fillId="0" borderId="18" xfId="0" applyNumberFormat="1" applyFont="1" applyFill="1" applyBorder="1" applyAlignment="1">
      <alignment horizontal="center" vertical="center" wrapText="1"/>
    </xf>
    <xf numFmtId="185" fontId="42" fillId="0" borderId="19" xfId="0" applyNumberFormat="1" applyFont="1" applyFill="1" applyBorder="1" applyAlignment="1">
      <alignment horizontal="center" vertical="center" wrapText="1"/>
    </xf>
    <xf numFmtId="185" fontId="42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5" fontId="42" fillId="0" borderId="21" xfId="0" applyNumberFormat="1" applyFont="1" applyFill="1" applyBorder="1" applyAlignment="1">
      <alignment horizontal="center" vertical="center" wrapText="1"/>
    </xf>
    <xf numFmtId="185" fontId="42" fillId="0" borderId="22" xfId="0" applyNumberFormat="1" applyFont="1" applyFill="1" applyBorder="1" applyAlignment="1">
      <alignment horizontal="center" vertical="center" wrapText="1"/>
    </xf>
    <xf numFmtId="185" fontId="42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33" fillId="0" borderId="25" xfId="0" applyNumberFormat="1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 wrapText="1"/>
    </xf>
    <xf numFmtId="4" fontId="3" fillId="25" borderId="17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9" fontId="34" fillId="25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16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3" fillId="25" borderId="20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185" fontId="5" fillId="25" borderId="27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3" fillId="26" borderId="20" xfId="0" applyNumberFormat="1" applyFont="1" applyFill="1" applyBorder="1" applyAlignment="1">
      <alignment horizontal="center" vertical="center" wrapText="1"/>
    </xf>
    <xf numFmtId="4" fontId="33" fillId="0" borderId="30" xfId="0" applyNumberFormat="1" applyFont="1" applyFill="1" applyBorder="1" applyAlignment="1">
      <alignment horizontal="center" vertical="center" wrapText="1"/>
    </xf>
    <xf numFmtId="4" fontId="3" fillId="26" borderId="17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33" fillId="0" borderId="31" xfId="0" applyNumberFormat="1" applyFont="1" applyFill="1" applyBorder="1" applyAlignment="1">
      <alignment horizontal="center" vertical="center" wrapText="1"/>
    </xf>
    <xf numFmtId="4" fontId="3" fillId="26" borderId="28" xfId="0" applyNumberFormat="1" applyFont="1" applyFill="1" applyBorder="1" applyAlignment="1">
      <alignment horizontal="center" vertical="center" wrapText="1"/>
    </xf>
    <xf numFmtId="4" fontId="31" fillId="0" borderId="29" xfId="0" applyNumberFormat="1" applyFont="1" applyFill="1" applyBorder="1" applyAlignment="1">
      <alignment horizontal="center" vertical="center" wrapText="1"/>
    </xf>
    <xf numFmtId="4" fontId="31" fillId="0" borderId="30" xfId="0" applyNumberFormat="1" applyFont="1" applyFill="1" applyBorder="1" applyAlignment="1">
      <alignment horizontal="center" vertical="center" wrapText="1"/>
    </xf>
    <xf numFmtId="4" fontId="31" fillId="0" borderId="31" xfId="0" applyNumberFormat="1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41" fillId="26" borderId="17" xfId="0" applyNumberFormat="1" applyFont="1" applyFill="1" applyBorder="1" applyAlignment="1">
      <alignment horizontal="center" vertical="center" wrapText="1"/>
    </xf>
    <xf numFmtId="4" fontId="41" fillId="25" borderId="1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5" fillId="26" borderId="12" xfId="0" applyNumberFormat="1" applyFont="1" applyFill="1" applyBorder="1" applyAlignment="1">
      <alignment horizontal="center" vertical="center" wrapText="1"/>
    </xf>
    <xf numFmtId="4" fontId="35" fillId="25" borderId="12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62" applyNumberFormat="1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37" xfId="62" applyNumberFormat="1" applyFont="1" applyFill="1" applyBorder="1" applyAlignment="1">
      <alignment horizontal="center" vertical="center" wrapText="1"/>
    </xf>
    <xf numFmtId="4" fontId="9" fillId="0" borderId="37" xfId="62" applyNumberFormat="1" applyFont="1" applyFill="1" applyBorder="1" applyAlignment="1">
      <alignment horizontal="center" vertical="center" wrapText="1"/>
    </xf>
    <xf numFmtId="4" fontId="35" fillId="26" borderId="17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5" fillId="25" borderId="36" xfId="0" applyNumberFormat="1" applyFont="1" applyFill="1" applyBorder="1" applyAlignment="1">
      <alignment horizontal="center" vertical="center" wrapText="1"/>
    </xf>
    <xf numFmtId="4" fontId="5" fillId="25" borderId="30" xfId="0" applyNumberFormat="1" applyFont="1" applyFill="1" applyBorder="1" applyAlignment="1">
      <alignment horizontal="center" vertical="center" wrapText="1"/>
    </xf>
    <xf numFmtId="4" fontId="6" fillId="25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25" borderId="35" xfId="0" applyNumberFormat="1" applyFont="1" applyFill="1" applyBorder="1" applyAlignment="1">
      <alignment horizontal="center" vertical="center" wrapText="1"/>
    </xf>
    <xf numFmtId="4" fontId="31" fillId="25" borderId="36" xfId="0" applyNumberFormat="1" applyFont="1" applyFill="1" applyBorder="1" applyAlignment="1">
      <alignment horizontal="center" vertical="center" wrapText="1"/>
    </xf>
    <xf numFmtId="4" fontId="31" fillId="0" borderId="3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43" applyNumberFormat="1" applyFont="1" applyFill="1" applyBorder="1" applyAlignment="1">
      <alignment horizontal="center" vertical="center" wrapText="1"/>
    </xf>
    <xf numFmtId="4" fontId="5" fillId="25" borderId="35" xfId="62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5" fillId="0" borderId="44" xfId="43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47" xfId="43" applyNumberFormat="1" applyFont="1" applyFill="1" applyBorder="1" applyAlignment="1">
      <alignment horizontal="center" vertical="center" wrapText="1"/>
    </xf>
    <xf numFmtId="4" fontId="3" fillId="26" borderId="48" xfId="0" applyNumberFormat="1" applyFont="1" applyFill="1" applyBorder="1" applyAlignment="1">
      <alignment horizontal="center" vertical="center" wrapText="1"/>
    </xf>
    <xf numFmtId="4" fontId="5" fillId="0" borderId="38" xfId="43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4" fontId="41" fillId="26" borderId="10" xfId="0" applyNumberFormat="1" applyFont="1" applyFill="1" applyBorder="1" applyAlignment="1">
      <alignment horizontal="center" vertical="center" wrapText="1"/>
    </xf>
    <xf numFmtId="4" fontId="31" fillId="0" borderId="49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  <xf numFmtId="4" fontId="31" fillId="0" borderId="50" xfId="43" applyNumberFormat="1" applyFont="1" applyFill="1" applyBorder="1" applyAlignment="1">
      <alignment horizontal="center" vertical="center" wrapText="1"/>
    </xf>
    <xf numFmtId="4" fontId="3" fillId="26" borderId="27" xfId="0" applyNumberFormat="1" applyFont="1" applyFill="1" applyBorder="1" applyAlignment="1">
      <alignment horizontal="center" vertical="center" wrapText="1"/>
    </xf>
    <xf numFmtId="4" fontId="31" fillId="0" borderId="51" xfId="43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31" fillId="0" borderId="52" xfId="43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52" xfId="43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31" fillId="0" borderId="0" xfId="43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31" fillId="0" borderId="53" xfId="43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31" fillId="0" borderId="44" xfId="43" applyNumberFormat="1" applyFont="1" applyFill="1" applyBorder="1" applyAlignment="1">
      <alignment horizontal="center" vertical="center" wrapText="1"/>
    </xf>
    <xf numFmtId="4" fontId="3" fillId="25" borderId="46" xfId="0" applyNumberFormat="1" applyFont="1" applyFill="1" applyBorder="1" applyAlignment="1">
      <alignment horizontal="center" vertical="center" wrapText="1"/>
    </xf>
    <xf numFmtId="4" fontId="31" fillId="0" borderId="54" xfId="43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center" vertical="center" wrapText="1"/>
    </xf>
    <xf numFmtId="4" fontId="6" fillId="25" borderId="29" xfId="0" applyNumberFormat="1" applyFont="1" applyFill="1" applyBorder="1" applyAlignment="1">
      <alignment horizontal="center" vertical="center" wrapText="1"/>
    </xf>
    <xf numFmtId="4" fontId="6" fillId="25" borderId="30" xfId="0" applyNumberFormat="1" applyFont="1" applyFill="1" applyBorder="1" applyAlignment="1">
      <alignment horizontal="center" vertical="center" wrapText="1"/>
    </xf>
    <xf numFmtId="4" fontId="31" fillId="25" borderId="30" xfId="0" applyNumberFormat="1" applyFont="1" applyFill="1" applyBorder="1" applyAlignment="1">
      <alignment horizontal="center" vertical="center" wrapText="1"/>
    </xf>
    <xf numFmtId="4" fontId="6" fillId="25" borderId="30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188" fontId="43" fillId="0" borderId="37" xfId="0" applyNumberFormat="1" applyFont="1" applyFill="1" applyBorder="1" applyAlignment="1">
      <alignment horizontal="center" vertical="center"/>
    </xf>
    <xf numFmtId="186" fontId="37" fillId="26" borderId="11" xfId="0" applyNumberFormat="1" applyFont="1" applyFill="1" applyBorder="1" applyAlignment="1">
      <alignment horizontal="center" vertical="center"/>
    </xf>
    <xf numFmtId="186" fontId="37" fillId="0" borderId="42" xfId="0" applyNumberFormat="1" applyFont="1" applyBorder="1" applyAlignment="1">
      <alignment horizontal="center" vertical="center"/>
    </xf>
    <xf numFmtId="188" fontId="43" fillId="0" borderId="37" xfId="0" applyNumberFormat="1" applyFont="1" applyFill="1" applyBorder="1" applyAlignment="1">
      <alignment horizontal="center" vertical="center" wrapText="1"/>
    </xf>
    <xf numFmtId="188" fontId="43" fillId="0" borderId="54" xfId="0" applyNumberFormat="1" applyFont="1" applyFill="1" applyBorder="1" applyAlignment="1">
      <alignment horizontal="center" vertical="center" wrapText="1"/>
    </xf>
    <xf numFmtId="188" fontId="43" fillId="0" borderId="35" xfId="0" applyNumberFormat="1" applyFont="1" applyFill="1" applyBorder="1" applyAlignment="1">
      <alignment horizontal="center" vertical="center"/>
    </xf>
    <xf numFmtId="188" fontId="43" fillId="0" borderId="44" xfId="0" applyNumberFormat="1" applyFont="1" applyFill="1" applyBorder="1" applyAlignment="1">
      <alignment horizontal="center" vertical="center"/>
    </xf>
    <xf numFmtId="188" fontId="37" fillId="0" borderId="55" xfId="0" applyNumberFormat="1" applyFont="1" applyFill="1" applyBorder="1" applyAlignment="1">
      <alignment horizontal="center" vertical="center" wrapText="1"/>
    </xf>
    <xf numFmtId="188" fontId="43" fillId="0" borderId="25" xfId="0" applyNumberFormat="1" applyFont="1" applyFill="1" applyBorder="1" applyAlignment="1">
      <alignment horizontal="center" vertical="center"/>
    </xf>
    <xf numFmtId="188" fontId="43" fillId="0" borderId="53" xfId="0" applyNumberFormat="1" applyFont="1" applyFill="1" applyBorder="1" applyAlignment="1">
      <alignment horizontal="center" vertical="center"/>
    </xf>
    <xf numFmtId="188" fontId="37" fillId="0" borderId="25" xfId="0" applyNumberFormat="1" applyFont="1" applyFill="1" applyBorder="1" applyAlignment="1">
      <alignment horizontal="center" vertical="center" wrapText="1"/>
    </xf>
    <xf numFmtId="188" fontId="37" fillId="0" borderId="53" xfId="0" applyNumberFormat="1" applyFont="1" applyFill="1" applyBorder="1" applyAlignment="1">
      <alignment horizontal="center" vertical="center" wrapText="1"/>
    </xf>
    <xf numFmtId="188" fontId="43" fillId="0" borderId="56" xfId="0" applyNumberFormat="1" applyFont="1" applyFill="1" applyBorder="1" applyAlignment="1">
      <alignment horizontal="center" vertical="center"/>
    </xf>
    <xf numFmtId="4" fontId="38" fillId="6" borderId="24" xfId="0" applyNumberFormat="1" applyFont="1" applyFill="1" applyBorder="1" applyAlignment="1">
      <alignment horizontal="center" vertical="center" wrapText="1"/>
    </xf>
    <xf numFmtId="4" fontId="38" fillId="6" borderId="14" xfId="0" applyNumberFormat="1" applyFont="1" applyFill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4" fontId="38" fillId="6" borderId="10" xfId="0" applyNumberFormat="1" applyFont="1" applyFill="1" applyBorder="1" applyAlignment="1">
      <alignment horizontal="center" vertical="center" wrapText="1"/>
    </xf>
    <xf numFmtId="4" fontId="31" fillId="25" borderId="29" xfId="0" applyNumberFormat="1" applyFont="1" applyFill="1" applyBorder="1" applyAlignment="1">
      <alignment horizontal="center" vertical="center" wrapText="1"/>
    </xf>
    <xf numFmtId="4" fontId="6" fillId="25" borderId="29" xfId="0" applyNumberFormat="1" applyFont="1" applyFill="1" applyBorder="1" applyAlignment="1">
      <alignment horizontal="center" vertical="center" wrapText="1"/>
    </xf>
    <xf numFmtId="4" fontId="5" fillId="25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3" fillId="25" borderId="26" xfId="0" applyNumberFormat="1" applyFont="1" applyFill="1" applyBorder="1" applyAlignment="1">
      <alignment horizontal="center" vertical="center" wrapText="1"/>
    </xf>
    <xf numFmtId="4" fontId="33" fillId="25" borderId="25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5" fillId="25" borderId="37" xfId="62" applyNumberFormat="1" applyFont="1" applyFill="1" applyBorder="1" applyAlignment="1">
      <alignment horizontal="center" vertical="center" wrapText="1"/>
    </xf>
    <xf numFmtId="4" fontId="5" fillId="25" borderId="26" xfId="0" applyNumberFormat="1" applyFont="1" applyFill="1" applyBorder="1" applyAlignment="1">
      <alignment horizontal="center" vertical="center" wrapText="1"/>
    </xf>
    <xf numFmtId="4" fontId="44" fillId="25" borderId="26" xfId="0" applyNumberFormat="1" applyFont="1" applyFill="1" applyBorder="1" applyAlignment="1">
      <alignment horizontal="center" vertical="center" wrapText="1"/>
    </xf>
    <xf numFmtId="4" fontId="44" fillId="25" borderId="25" xfId="0" applyNumberFormat="1" applyFont="1" applyFill="1" applyBorder="1" applyAlignment="1">
      <alignment horizontal="center" vertical="center" wrapText="1"/>
    </xf>
    <xf numFmtId="4" fontId="45" fillId="25" borderId="25" xfId="0" applyNumberFormat="1" applyFont="1" applyFill="1" applyBorder="1" applyAlignment="1">
      <alignment horizontal="center" vertical="center" wrapText="1"/>
    </xf>
    <xf numFmtId="185" fontId="5" fillId="25" borderId="17" xfId="0" applyNumberFormat="1" applyFont="1" applyFill="1" applyBorder="1" applyAlignment="1">
      <alignment horizontal="center" vertical="center" wrapText="1"/>
    </xf>
    <xf numFmtId="4" fontId="31" fillId="0" borderId="36" xfId="0" applyNumberFormat="1" applyFont="1" applyFill="1" applyBorder="1" applyAlignment="1">
      <alignment horizontal="center" vertical="center" wrapText="1"/>
    </xf>
    <xf numFmtId="4" fontId="0" fillId="0" borderId="52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5" fillId="0" borderId="52" xfId="43" applyNumberFormat="1" applyFont="1" applyFill="1" applyBorder="1" applyAlignment="1">
      <alignment horizontal="center" vertical="center" wrapText="1"/>
    </xf>
    <xf numFmtId="4" fontId="33" fillId="25" borderId="29" xfId="0" applyNumberFormat="1" applyFont="1" applyFill="1" applyBorder="1" applyAlignment="1">
      <alignment horizontal="center" vertical="center" wrapText="1"/>
    </xf>
    <xf numFmtId="4" fontId="33" fillId="25" borderId="26" xfId="0" applyNumberFormat="1" applyFont="1" applyFill="1" applyBorder="1" applyAlignment="1">
      <alignment horizontal="center" vertical="center" wrapText="1"/>
    </xf>
    <xf numFmtId="4" fontId="6" fillId="25" borderId="49" xfId="0" applyNumberFormat="1" applyFont="1" applyFill="1" applyBorder="1" applyAlignment="1">
      <alignment horizontal="center" vertical="center" wrapText="1"/>
    </xf>
    <xf numFmtId="4" fontId="33" fillId="25" borderId="31" xfId="0" applyNumberFormat="1" applyFont="1" applyFill="1" applyBorder="1" applyAlignment="1">
      <alignment horizontal="center" vertical="center" wrapText="1"/>
    </xf>
    <xf numFmtId="4" fontId="5" fillId="25" borderId="49" xfId="0" applyNumberFormat="1" applyFont="1" applyFill="1" applyBorder="1" applyAlignment="1">
      <alignment horizontal="center" vertical="center" wrapText="1"/>
    </xf>
    <xf numFmtId="4" fontId="6" fillId="25" borderId="26" xfId="0" applyNumberFormat="1" applyFont="1" applyFill="1" applyBorder="1" applyAlignment="1">
      <alignment horizontal="center" vertical="center" wrapText="1"/>
    </xf>
    <xf numFmtId="4" fontId="6" fillId="0" borderId="44" xfId="43" applyNumberFormat="1" applyFont="1" applyFill="1" applyBorder="1" applyAlignment="1">
      <alignment horizontal="center" vertical="center" wrapText="1"/>
    </xf>
    <xf numFmtId="4" fontId="41" fillId="26" borderId="12" xfId="0" applyNumberFormat="1" applyFont="1" applyFill="1" applyBorder="1" applyAlignment="1">
      <alignment horizontal="center" vertical="center" wrapText="1"/>
    </xf>
    <xf numFmtId="4" fontId="41" fillId="25" borderId="12" xfId="0" applyNumberFormat="1" applyFont="1" applyFill="1" applyBorder="1" applyAlignment="1">
      <alignment horizontal="center" vertical="center" wrapText="1"/>
    </xf>
    <xf numFmtId="4" fontId="44" fillId="25" borderId="29" xfId="0" applyNumberFormat="1" applyFont="1" applyFill="1" applyBorder="1" applyAlignment="1">
      <alignment horizontal="center" vertical="center" wrapText="1"/>
    </xf>
    <xf numFmtId="4" fontId="44" fillId="25" borderId="30" xfId="0" applyNumberFormat="1" applyFont="1" applyFill="1" applyBorder="1" applyAlignment="1">
      <alignment horizontal="center" vertical="center" wrapText="1"/>
    </xf>
    <xf numFmtId="4" fontId="33" fillId="25" borderId="30" xfId="0" applyNumberFormat="1" applyFont="1" applyFill="1" applyBorder="1" applyAlignment="1">
      <alignment horizontal="center" vertical="center" wrapText="1"/>
    </xf>
    <xf numFmtId="185" fontId="42" fillId="0" borderId="28" xfId="0" applyNumberFormat="1" applyFont="1" applyFill="1" applyBorder="1" applyAlignment="1">
      <alignment horizontal="center" vertical="center" wrapText="1"/>
    </xf>
    <xf numFmtId="185" fontId="42" fillId="0" borderId="57" xfId="0" applyNumberFormat="1" applyFont="1" applyFill="1" applyBorder="1" applyAlignment="1">
      <alignment horizontal="center" vertical="center" wrapText="1"/>
    </xf>
    <xf numFmtId="4" fontId="31" fillId="0" borderId="40" xfId="0" applyNumberFormat="1" applyFont="1" applyFill="1" applyBorder="1" applyAlignment="1">
      <alignment horizontal="center" vertical="center" wrapText="1"/>
    </xf>
    <xf numFmtId="4" fontId="5" fillId="25" borderId="40" xfId="0" applyNumberFormat="1" applyFont="1" applyFill="1" applyBorder="1" applyAlignment="1">
      <alignment horizontal="center" vertical="center" wrapText="1"/>
    </xf>
    <xf numFmtId="4" fontId="31" fillId="0" borderId="41" xfId="43" applyNumberFormat="1" applyFont="1" applyFill="1" applyBorder="1" applyAlignment="1">
      <alignment horizontal="center" vertical="center" wrapText="1"/>
    </xf>
    <xf numFmtId="4" fontId="44" fillId="25" borderId="40" xfId="0" applyNumberFormat="1" applyFont="1" applyFill="1" applyBorder="1" applyAlignment="1">
      <alignment horizontal="center" vertical="center" wrapText="1"/>
    </xf>
    <xf numFmtId="4" fontId="33" fillId="0" borderId="40" xfId="0" applyNumberFormat="1" applyFont="1" applyFill="1" applyBorder="1" applyAlignment="1">
      <alignment horizontal="center" vertical="center" wrapText="1"/>
    </xf>
    <xf numFmtId="4" fontId="33" fillId="0" borderId="25" xfId="0" applyNumberFormat="1" applyFont="1" applyFill="1" applyBorder="1" applyAlignment="1">
      <alignment horizontal="center" vertical="center" wrapText="1"/>
    </xf>
    <xf numFmtId="4" fontId="3" fillId="25" borderId="20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Fill="1" applyBorder="1" applyAlignment="1">
      <alignment horizontal="center" vertical="center" wrapText="1"/>
    </xf>
    <xf numFmtId="4" fontId="32" fillId="0" borderId="52" xfId="43" applyNumberFormat="1" applyFont="1" applyFill="1" applyBorder="1" applyAlignment="1">
      <alignment horizontal="center" vertical="center" wrapText="1"/>
    </xf>
    <xf numFmtId="4" fontId="30" fillId="25" borderId="30" xfId="0" applyNumberFormat="1" applyFont="1" applyFill="1" applyBorder="1" applyAlignment="1">
      <alignment horizontal="center" vertical="center" wrapText="1"/>
    </xf>
    <xf numFmtId="4" fontId="46" fillId="25" borderId="25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" fontId="9" fillId="0" borderId="35" xfId="62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1" fillId="25" borderId="32" xfId="0" applyNumberFormat="1" applyFont="1" applyFill="1" applyBorder="1" applyAlignment="1">
      <alignment horizontal="center" vertical="center" wrapText="1"/>
    </xf>
    <xf numFmtId="4" fontId="6" fillId="25" borderId="44" xfId="43" applyNumberFormat="1" applyFont="1" applyFill="1" applyBorder="1" applyAlignment="1">
      <alignment horizontal="center" vertical="center" wrapText="1"/>
    </xf>
    <xf numFmtId="185" fontId="47" fillId="0" borderId="23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4" fontId="30" fillId="25" borderId="26" xfId="0" applyNumberFormat="1" applyFont="1" applyFill="1" applyBorder="1" applyAlignment="1">
      <alignment horizontal="center" vertical="center" wrapText="1"/>
    </xf>
    <xf numFmtId="4" fontId="30" fillId="25" borderId="44" xfId="43" applyNumberFormat="1" applyFont="1" applyFill="1" applyBorder="1" applyAlignment="1">
      <alignment horizontal="center" vertical="center" wrapText="1"/>
    </xf>
    <xf numFmtId="4" fontId="48" fillId="26" borderId="12" xfId="0" applyNumberFormat="1" applyFont="1" applyFill="1" applyBorder="1" applyAlignment="1">
      <alignment horizontal="center" vertical="center" wrapText="1"/>
    </xf>
    <xf numFmtId="4" fontId="30" fillId="0" borderId="26" xfId="0" applyNumberFormat="1" applyFont="1" applyFill="1" applyBorder="1" applyAlignment="1">
      <alignment horizontal="center" vertical="center" wrapText="1"/>
    </xf>
    <xf numFmtId="4" fontId="48" fillId="25" borderId="12" xfId="0" applyNumberFormat="1" applyFont="1" applyFill="1" applyBorder="1" applyAlignment="1">
      <alignment horizontal="center" vertical="center" wrapText="1"/>
    </xf>
    <xf numFmtId="185" fontId="47" fillId="0" borderId="15" xfId="0" applyNumberFormat="1" applyFont="1" applyFill="1" applyBorder="1" applyAlignment="1">
      <alignment horizontal="center" vertical="center" wrapText="1"/>
    </xf>
    <xf numFmtId="0" fontId="9" fillId="25" borderId="48" xfId="0" applyFont="1" applyFill="1" applyBorder="1" applyAlignment="1">
      <alignment horizontal="center" vertical="center" wrapText="1"/>
    </xf>
    <xf numFmtId="4" fontId="30" fillId="25" borderId="45" xfId="0" applyNumberFormat="1" applyFont="1" applyFill="1" applyBorder="1" applyAlignment="1">
      <alignment horizontal="center" vertical="center" wrapText="1"/>
    </xf>
    <xf numFmtId="4" fontId="30" fillId="25" borderId="47" xfId="43" applyNumberFormat="1" applyFont="1" applyFill="1" applyBorder="1" applyAlignment="1">
      <alignment horizontal="center" vertical="center" wrapText="1"/>
    </xf>
    <xf numFmtId="4" fontId="48" fillId="26" borderId="48" xfId="0" applyNumberFormat="1" applyFont="1" applyFill="1" applyBorder="1" applyAlignment="1">
      <alignment horizontal="center" vertical="center" wrapText="1"/>
    </xf>
    <xf numFmtId="4" fontId="30" fillId="0" borderId="45" xfId="0" applyNumberFormat="1" applyFont="1" applyFill="1" applyBorder="1" applyAlignment="1">
      <alignment horizontal="center" vertical="center" wrapText="1"/>
    </xf>
    <xf numFmtId="4" fontId="48" fillId="25" borderId="48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3" fillId="0" borderId="13" xfId="54" applyNumberFormat="1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49" fontId="3" fillId="0" borderId="28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28" xfId="54" applyFont="1" applyFill="1" applyBorder="1" applyAlignment="1">
      <alignment horizontal="center" vertical="center" wrapText="1"/>
      <protection/>
    </xf>
    <xf numFmtId="0" fontId="3" fillId="0" borderId="57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26" borderId="27" xfId="54" applyFont="1" applyFill="1" applyBorder="1" applyAlignment="1">
      <alignment horizontal="center" vertical="center" wrapText="1"/>
      <protection/>
    </xf>
    <xf numFmtId="0" fontId="3" fillId="26" borderId="20" xfId="54" applyFont="1" applyFill="1" applyBorder="1" applyAlignment="1">
      <alignment horizontal="center" vertical="center" wrapText="1"/>
      <protection/>
    </xf>
    <xf numFmtId="0" fontId="3" fillId="26" borderId="48" xfId="54" applyFont="1" applyFill="1" applyBorder="1" applyAlignment="1">
      <alignment horizontal="center" vertical="center" wrapText="1"/>
      <protection/>
    </xf>
    <xf numFmtId="0" fontId="3" fillId="0" borderId="38" xfId="54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4" xfId="54" applyFont="1" applyFill="1" applyBorder="1" applyAlignment="1">
      <alignment horizontal="center" vertical="center" wrapText="1"/>
      <protection/>
    </xf>
    <xf numFmtId="0" fontId="2" fillId="25" borderId="0" xfId="54" applyFont="1" applyFill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center" vertical="center" wrapText="1"/>
      <protection/>
    </xf>
    <xf numFmtId="0" fontId="3" fillId="0" borderId="51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48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2" fontId="3" fillId="0" borderId="41" xfId="45" applyNumberFormat="1" applyFont="1" applyFill="1" applyBorder="1" applyAlignment="1">
      <alignment horizontal="center" vertical="center" wrapText="1"/>
    </xf>
    <xf numFmtId="2" fontId="3" fillId="0" borderId="51" xfId="4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2" fillId="0" borderId="13" xfId="54" applyNumberFormat="1" applyFont="1" applyFill="1" applyBorder="1" applyAlignment="1">
      <alignment horizontal="center" vertical="center" wrapText="1"/>
      <protection/>
    </xf>
    <xf numFmtId="49" fontId="2" fillId="0" borderId="28" xfId="54" applyNumberFormat="1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38" xfId="54" applyFont="1" applyFill="1" applyBorder="1" applyAlignment="1">
      <alignment horizontal="center" vertical="center" wrapText="1"/>
      <protection/>
    </xf>
    <xf numFmtId="0" fontId="2" fillId="26" borderId="27" xfId="54" applyFont="1" applyFill="1" applyBorder="1" applyAlignment="1">
      <alignment horizontal="center" vertical="center" wrapText="1"/>
      <protection/>
    </xf>
    <xf numFmtId="0" fontId="2" fillId="26" borderId="48" xfId="54" applyFont="1" applyFill="1" applyBorder="1" applyAlignment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zoomScaleSheetLayoutView="100" workbookViewId="0" topLeftCell="A1">
      <selection activeCell="F18" sqref="F18"/>
    </sheetView>
  </sheetViews>
  <sheetFormatPr defaultColWidth="9.125" defaultRowHeight="12.75"/>
  <cols>
    <col min="1" max="1" width="7.75390625" style="0" customWidth="1"/>
    <col min="2" max="2" width="50.125" style="0" customWidth="1"/>
    <col min="3" max="3" width="15.00390625" style="0" customWidth="1"/>
    <col min="4" max="4" width="11.375" style="0" customWidth="1"/>
    <col min="5" max="5" width="12.00390625" style="0" customWidth="1"/>
    <col min="6" max="6" width="12.125" style="0" customWidth="1"/>
    <col min="7" max="7" width="11.75390625" style="0" customWidth="1"/>
    <col min="8" max="8" width="11.00390625" style="0" customWidth="1"/>
    <col min="9" max="9" width="13.00390625" style="0" customWidth="1"/>
    <col min="12" max="12" width="10.25390625" style="0" customWidth="1"/>
    <col min="13" max="13" width="10.625" style="0" customWidth="1"/>
    <col min="14" max="14" width="10.375" style="0" customWidth="1"/>
    <col min="15" max="15" width="10.25390625" style="0" customWidth="1"/>
    <col min="16" max="16" width="10.125" style="0" customWidth="1"/>
    <col min="17" max="17" width="10.375" style="0" customWidth="1"/>
  </cols>
  <sheetData>
    <row r="1" spans="7:17" ht="21" customHeight="1">
      <c r="G1" s="271"/>
      <c r="H1" s="271"/>
      <c r="I1" s="271"/>
      <c r="M1" s="271" t="s">
        <v>41</v>
      </c>
      <c r="N1" s="271"/>
      <c r="O1" s="271"/>
      <c r="P1" s="271"/>
      <c r="Q1" s="271"/>
    </row>
    <row r="2" spans="7:17" ht="21" customHeight="1">
      <c r="G2" s="2"/>
      <c r="H2" s="2"/>
      <c r="I2" s="2"/>
      <c r="M2" s="271" t="s">
        <v>39</v>
      </c>
      <c r="N2" s="271"/>
      <c r="O2" s="271"/>
      <c r="P2" s="271"/>
      <c r="Q2" s="271"/>
    </row>
    <row r="3" spans="7:17" ht="21" customHeight="1">
      <c r="G3" s="2"/>
      <c r="H3" s="2"/>
      <c r="I3" s="2"/>
      <c r="M3" s="271"/>
      <c r="N3" s="271"/>
      <c r="O3" s="271"/>
      <c r="P3" s="271"/>
      <c r="Q3" s="271"/>
    </row>
    <row r="4" spans="7:9" ht="21" customHeight="1">
      <c r="G4" s="2"/>
      <c r="H4" s="2"/>
      <c r="I4" s="2"/>
    </row>
    <row r="5" spans="7:9" ht="4.5" customHeight="1">
      <c r="G5" s="271"/>
      <c r="H5" s="271"/>
      <c r="I5" s="271"/>
    </row>
    <row r="6" spans="7:17" ht="25.5" customHeight="1">
      <c r="G6" s="271"/>
      <c r="H6" s="271"/>
      <c r="I6" s="271"/>
      <c r="M6" s="271" t="s">
        <v>270</v>
      </c>
      <c r="N6" s="271"/>
      <c r="O6" s="271"/>
      <c r="P6" s="271"/>
      <c r="Q6" s="271"/>
    </row>
    <row r="7" spans="7:17" ht="40.5" customHeight="1">
      <c r="G7" s="2"/>
      <c r="H7" s="2"/>
      <c r="I7" s="2"/>
      <c r="M7" s="271" t="s">
        <v>38</v>
      </c>
      <c r="N7" s="271"/>
      <c r="O7" s="271"/>
      <c r="P7" s="271"/>
      <c r="Q7" s="271"/>
    </row>
    <row r="8" spans="3:17" ht="19.5" customHeight="1">
      <c r="C8" s="262"/>
      <c r="D8" s="262"/>
      <c r="E8" s="262"/>
      <c r="G8" s="2"/>
      <c r="H8" s="2"/>
      <c r="I8" s="2"/>
      <c r="M8" s="271"/>
      <c r="N8" s="271"/>
      <c r="O8" s="271"/>
      <c r="P8" s="271"/>
      <c r="Q8" s="271"/>
    </row>
    <row r="9" spans="3:17" ht="15.75" customHeight="1">
      <c r="C9" s="185"/>
      <c r="D9" s="185"/>
      <c r="E9" s="185"/>
      <c r="G9" s="2"/>
      <c r="H9" s="2"/>
      <c r="I9" s="2"/>
      <c r="M9" s="2"/>
      <c r="N9" s="2"/>
      <c r="O9" s="2"/>
      <c r="P9" s="2"/>
      <c r="Q9" s="2"/>
    </row>
    <row r="10" spans="3:17" ht="15.75" customHeight="1">
      <c r="C10" s="185"/>
      <c r="D10" s="185"/>
      <c r="E10" s="185"/>
      <c r="G10" s="2"/>
      <c r="H10" s="2"/>
      <c r="I10" s="2"/>
      <c r="M10" s="2"/>
      <c r="N10" s="2"/>
      <c r="O10" s="2"/>
      <c r="P10" s="2"/>
      <c r="Q10" s="2"/>
    </row>
    <row r="11" spans="1:17" ht="13.5" customHeight="1">
      <c r="A11" s="264" t="s">
        <v>42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</row>
    <row r="12" spans="1:17" ht="15.75">
      <c r="A12" s="264" t="s">
        <v>43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</row>
    <row r="13" spans="1:9" ht="12" customHeight="1" thickBot="1">
      <c r="A13" s="3"/>
      <c r="B13" s="3"/>
      <c r="C13" s="3"/>
      <c r="D13" s="3"/>
      <c r="E13" s="3"/>
      <c r="F13" s="3"/>
      <c r="G13" s="3"/>
      <c r="H13" s="3"/>
      <c r="I13" s="3"/>
    </row>
    <row r="14" spans="1:17" s="1" customFormat="1" ht="13.5" customHeight="1" thickBot="1">
      <c r="A14" s="248" t="s">
        <v>44</v>
      </c>
      <c r="B14" s="251" t="s">
        <v>45</v>
      </c>
      <c r="C14" s="263" t="s">
        <v>46</v>
      </c>
      <c r="D14" s="259"/>
      <c r="E14" s="259"/>
      <c r="F14" s="259"/>
      <c r="G14" s="259"/>
      <c r="H14" s="259"/>
      <c r="I14" s="256" t="s">
        <v>47</v>
      </c>
      <c r="J14" s="259" t="s">
        <v>139</v>
      </c>
      <c r="K14" s="259"/>
      <c r="L14" s="259"/>
      <c r="M14" s="259"/>
      <c r="N14" s="259"/>
      <c r="O14" s="259"/>
      <c r="P14" s="256" t="s">
        <v>47</v>
      </c>
      <c r="Q14" s="269" t="s">
        <v>140</v>
      </c>
    </row>
    <row r="15" spans="1:17" ht="12.75" customHeight="1">
      <c r="A15" s="249"/>
      <c r="B15" s="252"/>
      <c r="C15" s="254" t="s">
        <v>48</v>
      </c>
      <c r="D15" s="254" t="s">
        <v>49</v>
      </c>
      <c r="E15" s="269" t="s">
        <v>143</v>
      </c>
      <c r="F15" s="265" t="s">
        <v>50</v>
      </c>
      <c r="G15" s="251" t="s">
        <v>51</v>
      </c>
      <c r="H15" s="273" t="s">
        <v>52</v>
      </c>
      <c r="I15" s="257"/>
      <c r="J15" s="267" t="s">
        <v>48</v>
      </c>
      <c r="K15" s="251" t="s">
        <v>49</v>
      </c>
      <c r="L15" s="269" t="s">
        <v>143</v>
      </c>
      <c r="M15" s="265" t="s">
        <v>141</v>
      </c>
      <c r="N15" s="251" t="s">
        <v>51</v>
      </c>
      <c r="O15" s="273" t="s">
        <v>142</v>
      </c>
      <c r="P15" s="257"/>
      <c r="Q15" s="272"/>
    </row>
    <row r="16" spans="1:17" ht="45" customHeight="1" thickBot="1">
      <c r="A16" s="250"/>
      <c r="B16" s="253"/>
      <c r="C16" s="255"/>
      <c r="D16" s="255"/>
      <c r="E16" s="270"/>
      <c r="F16" s="266"/>
      <c r="G16" s="253"/>
      <c r="H16" s="274"/>
      <c r="I16" s="258"/>
      <c r="J16" s="268"/>
      <c r="K16" s="253"/>
      <c r="L16" s="270"/>
      <c r="M16" s="266"/>
      <c r="N16" s="253"/>
      <c r="O16" s="274"/>
      <c r="P16" s="258"/>
      <c r="Q16" s="270"/>
    </row>
    <row r="17" spans="1:17" ht="22.5" customHeight="1" thickBot="1">
      <c r="A17" s="4" t="s">
        <v>53</v>
      </c>
      <c r="B17" s="5" t="s">
        <v>54</v>
      </c>
      <c r="C17" s="33">
        <f aca="true" t="shared" si="0" ref="C17:H17">C18+C45+C19+C44+C21+C40+C41+C42+C43+C46+C20+C47+C48+C49+C50</f>
        <v>0</v>
      </c>
      <c r="D17" s="33">
        <f t="shared" si="0"/>
        <v>150246.59999999998</v>
      </c>
      <c r="E17" s="33">
        <f t="shared" si="0"/>
        <v>8729.22646</v>
      </c>
      <c r="F17" s="33">
        <f t="shared" si="0"/>
        <v>0</v>
      </c>
      <c r="G17" s="33">
        <f t="shared" si="0"/>
        <v>0</v>
      </c>
      <c r="H17" s="33">
        <f t="shared" si="0"/>
        <v>34674.99999999999</v>
      </c>
      <c r="I17" s="34">
        <f>SUM(C17:H17)</f>
        <v>193650.82645999998</v>
      </c>
      <c r="J17" s="33">
        <f aca="true" t="shared" si="1" ref="J17:O17">J18+J45+J19+J44+J21+J40+J41+J42+J43+J46+J20+J47+J48+J49</f>
        <v>0</v>
      </c>
      <c r="K17" s="33">
        <f t="shared" si="1"/>
        <v>49316.28174</v>
      </c>
      <c r="L17" s="33">
        <f t="shared" si="1"/>
        <v>1240.45848</v>
      </c>
      <c r="M17" s="33">
        <f t="shared" si="1"/>
        <v>0</v>
      </c>
      <c r="N17" s="33">
        <f t="shared" si="1"/>
        <v>0</v>
      </c>
      <c r="O17" s="33">
        <f t="shared" si="1"/>
        <v>13459.86089</v>
      </c>
      <c r="P17" s="34">
        <f>SUM(J17:O17)</f>
        <v>64016.60111</v>
      </c>
      <c r="Q17" s="35">
        <f>I17-P17</f>
        <v>129634.22534999998</v>
      </c>
    </row>
    <row r="18" spans="1:17" ht="53.25" customHeight="1">
      <c r="A18" s="6" t="s">
        <v>55</v>
      </c>
      <c r="B18" s="155" t="s">
        <v>241</v>
      </c>
      <c r="C18" s="91"/>
      <c r="D18" s="36"/>
      <c r="E18" s="36"/>
      <c r="F18" s="36"/>
      <c r="G18" s="36"/>
      <c r="H18" s="92">
        <f>21692-8593.3-996.9+2787-4415.7-382.11623</f>
        <v>10090.983770000003</v>
      </c>
      <c r="I18" s="93">
        <f>SUM(C18:H18)</f>
        <v>10090.983770000003</v>
      </c>
      <c r="J18" s="36"/>
      <c r="K18" s="36"/>
      <c r="L18" s="37"/>
      <c r="M18" s="36"/>
      <c r="N18" s="36"/>
      <c r="O18" s="193">
        <v>10090.97179</v>
      </c>
      <c r="P18" s="39">
        <f>SUM(J18:O18)</f>
        <v>10090.97179</v>
      </c>
      <c r="Q18" s="40">
        <f>I18-P18</f>
        <v>0.011980000002949964</v>
      </c>
    </row>
    <row r="19" spans="1:17" ht="54.75" customHeight="1">
      <c r="A19" s="6" t="s">
        <v>56</v>
      </c>
      <c r="B19" s="89" t="s">
        <v>239</v>
      </c>
      <c r="C19" s="94"/>
      <c r="D19" s="90"/>
      <c r="E19" s="90"/>
      <c r="F19" s="90"/>
      <c r="G19" s="90"/>
      <c r="H19" s="191">
        <f>87+17.50001-0.035</f>
        <v>104.46501</v>
      </c>
      <c r="I19" s="65">
        <f>SUM(C19:H19)</f>
        <v>104.46501</v>
      </c>
      <c r="J19" s="36"/>
      <c r="K19" s="36"/>
      <c r="L19" s="37"/>
      <c r="M19" s="36"/>
      <c r="N19" s="36"/>
      <c r="O19" s="193">
        <v>11.66667</v>
      </c>
      <c r="P19" s="39">
        <f>SUM(J19:O19)</f>
        <v>11.66667</v>
      </c>
      <c r="Q19" s="41">
        <f>I19-P19</f>
        <v>92.79834000000001</v>
      </c>
    </row>
    <row r="20" spans="1:17" ht="82.5" customHeight="1">
      <c r="A20" s="6" t="s">
        <v>57</v>
      </c>
      <c r="B20" s="89" t="s">
        <v>240</v>
      </c>
      <c r="C20" s="94"/>
      <c r="D20" s="90"/>
      <c r="E20" s="90"/>
      <c r="F20" s="90"/>
      <c r="G20" s="90"/>
      <c r="H20" s="95">
        <v>705</v>
      </c>
      <c r="I20" s="65">
        <f>SUM(C20:H20)</f>
        <v>705</v>
      </c>
      <c r="J20" s="36"/>
      <c r="K20" s="36"/>
      <c r="L20" s="37"/>
      <c r="M20" s="36"/>
      <c r="N20" s="36"/>
      <c r="O20" s="186"/>
      <c r="P20" s="39">
        <f>SUM(J20:O20)</f>
        <v>0</v>
      </c>
      <c r="Q20" s="41">
        <f>I20-P20</f>
        <v>705</v>
      </c>
    </row>
    <row r="21" spans="1:17" ht="63.75">
      <c r="A21" s="6" t="s">
        <v>58</v>
      </c>
      <c r="B21" s="89" t="s">
        <v>277</v>
      </c>
      <c r="C21" s="94"/>
      <c r="D21" s="90"/>
      <c r="E21" s="95">
        <f>E22+E23+E24+E25+E26+E27+E28+E29+E30+E31+E32+E33+E34+E35+E36+E38+E39+E37</f>
        <v>6554.772</v>
      </c>
      <c r="F21" s="90"/>
      <c r="G21" s="90"/>
      <c r="H21" s="95"/>
      <c r="I21" s="65">
        <f aca="true" t="shared" si="2" ref="I21:I46">SUM(C21:H21)</f>
        <v>6554.772</v>
      </c>
      <c r="J21" s="36"/>
      <c r="K21" s="36"/>
      <c r="L21" s="37"/>
      <c r="M21" s="36"/>
      <c r="N21" s="36"/>
      <c r="O21" s="38"/>
      <c r="P21" s="39">
        <f>SUM(J21:O21)</f>
        <v>0</v>
      </c>
      <c r="Q21" s="41">
        <f>I21-P21</f>
        <v>6554.772</v>
      </c>
    </row>
    <row r="22" spans="1:17" ht="29.25" customHeight="1">
      <c r="A22" s="6" t="s">
        <v>166</v>
      </c>
      <c r="B22" s="89" t="s">
        <v>184</v>
      </c>
      <c r="C22" s="94"/>
      <c r="D22" s="90"/>
      <c r="E22" s="96">
        <v>367.2</v>
      </c>
      <c r="F22" s="90"/>
      <c r="G22" s="90"/>
      <c r="H22" s="96"/>
      <c r="I22" s="97">
        <f t="shared" si="2"/>
        <v>367.2</v>
      </c>
      <c r="J22" s="83"/>
      <c r="K22" s="83"/>
      <c r="L22" s="84"/>
      <c r="M22" s="83"/>
      <c r="N22" s="83"/>
      <c r="O22" s="85"/>
      <c r="P22" s="86">
        <f aca="true" t="shared" si="3" ref="P22:P84">SUM(J22:O22)</f>
        <v>0</v>
      </c>
      <c r="Q22" s="87">
        <f aca="true" t="shared" si="4" ref="Q22:Q91">I22-P22</f>
        <v>367.2</v>
      </c>
    </row>
    <row r="23" spans="1:17" ht="31.5" customHeight="1">
      <c r="A23" s="6" t="s">
        <v>167</v>
      </c>
      <c r="B23" s="89" t="s">
        <v>185</v>
      </c>
      <c r="C23" s="94"/>
      <c r="D23" s="90"/>
      <c r="E23" s="96">
        <v>170.4</v>
      </c>
      <c r="F23" s="90"/>
      <c r="G23" s="90"/>
      <c r="H23" s="96"/>
      <c r="I23" s="97">
        <f t="shared" si="2"/>
        <v>170.4</v>
      </c>
      <c r="J23" s="83"/>
      <c r="K23" s="83"/>
      <c r="L23" s="84"/>
      <c r="M23" s="83"/>
      <c r="N23" s="83"/>
      <c r="O23" s="85"/>
      <c r="P23" s="86">
        <f t="shared" si="3"/>
        <v>0</v>
      </c>
      <c r="Q23" s="87">
        <f t="shared" si="4"/>
        <v>170.4</v>
      </c>
    </row>
    <row r="24" spans="1:17" ht="30" customHeight="1">
      <c r="A24" s="6" t="s">
        <v>168</v>
      </c>
      <c r="B24" s="89" t="s">
        <v>186</v>
      </c>
      <c r="C24" s="94"/>
      <c r="D24" s="90"/>
      <c r="E24" s="96">
        <v>148.8</v>
      </c>
      <c r="F24" s="90"/>
      <c r="G24" s="90"/>
      <c r="H24" s="96"/>
      <c r="I24" s="97">
        <f t="shared" si="2"/>
        <v>148.8</v>
      </c>
      <c r="J24" s="83"/>
      <c r="K24" s="83"/>
      <c r="L24" s="84"/>
      <c r="M24" s="83"/>
      <c r="N24" s="83"/>
      <c r="O24" s="85"/>
      <c r="P24" s="86">
        <f t="shared" si="3"/>
        <v>0</v>
      </c>
      <c r="Q24" s="87">
        <f t="shared" si="4"/>
        <v>148.8</v>
      </c>
    </row>
    <row r="25" spans="1:17" ht="30.75" customHeight="1">
      <c r="A25" s="6" t="s">
        <v>169</v>
      </c>
      <c r="B25" s="89" t="s">
        <v>187</v>
      </c>
      <c r="C25" s="94"/>
      <c r="D25" s="90"/>
      <c r="E25" s="96">
        <v>523.2</v>
      </c>
      <c r="F25" s="90"/>
      <c r="G25" s="90"/>
      <c r="H25" s="96"/>
      <c r="I25" s="97">
        <f t="shared" si="2"/>
        <v>523.2</v>
      </c>
      <c r="J25" s="83"/>
      <c r="K25" s="83"/>
      <c r="L25" s="84"/>
      <c r="M25" s="83"/>
      <c r="N25" s="83"/>
      <c r="O25" s="85"/>
      <c r="P25" s="86">
        <f t="shared" si="3"/>
        <v>0</v>
      </c>
      <c r="Q25" s="87">
        <f t="shared" si="4"/>
        <v>523.2</v>
      </c>
    </row>
    <row r="26" spans="1:17" ht="29.25" customHeight="1">
      <c r="A26" s="6" t="s">
        <v>170</v>
      </c>
      <c r="B26" s="89" t="s">
        <v>188</v>
      </c>
      <c r="C26" s="94"/>
      <c r="D26" s="90"/>
      <c r="E26" s="96">
        <v>464.4</v>
      </c>
      <c r="F26" s="90"/>
      <c r="G26" s="90"/>
      <c r="H26" s="96"/>
      <c r="I26" s="97">
        <f t="shared" si="2"/>
        <v>464.4</v>
      </c>
      <c r="J26" s="83"/>
      <c r="K26" s="83"/>
      <c r="L26" s="84"/>
      <c r="M26" s="83"/>
      <c r="N26" s="83"/>
      <c r="O26" s="85"/>
      <c r="P26" s="86">
        <f t="shared" si="3"/>
        <v>0</v>
      </c>
      <c r="Q26" s="87">
        <f t="shared" si="4"/>
        <v>464.4</v>
      </c>
    </row>
    <row r="27" spans="1:17" ht="27.75" customHeight="1">
      <c r="A27" s="6" t="s">
        <v>171</v>
      </c>
      <c r="B27" s="89" t="s">
        <v>189</v>
      </c>
      <c r="C27" s="94"/>
      <c r="D27" s="90"/>
      <c r="E27" s="96">
        <v>469.2</v>
      </c>
      <c r="F27" s="90"/>
      <c r="G27" s="90"/>
      <c r="H27" s="96"/>
      <c r="I27" s="97">
        <f t="shared" si="2"/>
        <v>469.2</v>
      </c>
      <c r="J27" s="83"/>
      <c r="K27" s="83"/>
      <c r="L27" s="84"/>
      <c r="M27" s="83"/>
      <c r="N27" s="83"/>
      <c r="O27" s="85"/>
      <c r="P27" s="86">
        <f t="shared" si="3"/>
        <v>0</v>
      </c>
      <c r="Q27" s="87">
        <f t="shared" si="4"/>
        <v>469.2</v>
      </c>
    </row>
    <row r="28" spans="1:17" ht="31.5" customHeight="1">
      <c r="A28" s="6" t="s">
        <v>172</v>
      </c>
      <c r="B28" s="89" t="s">
        <v>190</v>
      </c>
      <c r="C28" s="94"/>
      <c r="D28" s="90"/>
      <c r="E28" s="96">
        <v>123.6</v>
      </c>
      <c r="F28" s="90"/>
      <c r="G28" s="90"/>
      <c r="H28" s="96"/>
      <c r="I28" s="97">
        <f t="shared" si="2"/>
        <v>123.6</v>
      </c>
      <c r="J28" s="83"/>
      <c r="K28" s="83"/>
      <c r="L28" s="84"/>
      <c r="M28" s="83"/>
      <c r="N28" s="83"/>
      <c r="O28" s="85"/>
      <c r="P28" s="86">
        <f t="shared" si="3"/>
        <v>0</v>
      </c>
      <c r="Q28" s="87">
        <f t="shared" si="4"/>
        <v>123.6</v>
      </c>
    </row>
    <row r="29" spans="1:17" ht="30" customHeight="1">
      <c r="A29" s="6" t="s">
        <v>173</v>
      </c>
      <c r="B29" s="89" t="s">
        <v>191</v>
      </c>
      <c r="C29" s="94"/>
      <c r="D29" s="90"/>
      <c r="E29" s="96">
        <v>120</v>
      </c>
      <c r="F29" s="90"/>
      <c r="G29" s="90"/>
      <c r="H29" s="96"/>
      <c r="I29" s="97">
        <f t="shared" si="2"/>
        <v>120</v>
      </c>
      <c r="J29" s="83"/>
      <c r="K29" s="83"/>
      <c r="L29" s="84"/>
      <c r="M29" s="83"/>
      <c r="N29" s="83"/>
      <c r="O29" s="85"/>
      <c r="P29" s="86">
        <f t="shared" si="3"/>
        <v>0</v>
      </c>
      <c r="Q29" s="87">
        <f t="shared" si="4"/>
        <v>120</v>
      </c>
    </row>
    <row r="30" spans="1:17" ht="30" customHeight="1">
      <c r="A30" s="226" t="s">
        <v>174</v>
      </c>
      <c r="B30" s="7" t="s">
        <v>192</v>
      </c>
      <c r="C30" s="73"/>
      <c r="D30" s="74"/>
      <c r="E30" s="227">
        <v>475.2</v>
      </c>
      <c r="F30" s="74"/>
      <c r="G30" s="74"/>
      <c r="H30" s="227"/>
      <c r="I30" s="86">
        <f>SUM(C30:H30)</f>
        <v>475.2</v>
      </c>
      <c r="J30" s="228"/>
      <c r="K30" s="228"/>
      <c r="L30" s="229"/>
      <c r="M30" s="228"/>
      <c r="N30" s="228"/>
      <c r="O30" s="85"/>
      <c r="P30" s="86">
        <f>SUM(J30:O30)</f>
        <v>0</v>
      </c>
      <c r="Q30" s="87">
        <f>I30-P30</f>
        <v>475.2</v>
      </c>
    </row>
    <row r="31" spans="1:17" ht="30" customHeight="1">
      <c r="A31" s="226" t="s">
        <v>175</v>
      </c>
      <c r="B31" s="7" t="s">
        <v>193</v>
      </c>
      <c r="C31" s="73"/>
      <c r="D31" s="74"/>
      <c r="E31" s="227">
        <v>400.8</v>
      </c>
      <c r="F31" s="74"/>
      <c r="G31" s="74"/>
      <c r="H31" s="227"/>
      <c r="I31" s="86">
        <f t="shared" si="2"/>
        <v>400.8</v>
      </c>
      <c r="J31" s="228"/>
      <c r="K31" s="228"/>
      <c r="L31" s="229"/>
      <c r="M31" s="228"/>
      <c r="N31" s="228"/>
      <c r="O31" s="85"/>
      <c r="P31" s="86">
        <f t="shared" si="3"/>
        <v>0</v>
      </c>
      <c r="Q31" s="87">
        <f t="shared" si="4"/>
        <v>400.8</v>
      </c>
    </row>
    <row r="32" spans="1:17" ht="33.75" customHeight="1">
      <c r="A32" s="6" t="s">
        <v>176</v>
      </c>
      <c r="B32" s="89" t="s">
        <v>194</v>
      </c>
      <c r="C32" s="94"/>
      <c r="D32" s="90"/>
      <c r="E32" s="96">
        <f>392.4+72.276</f>
        <v>464.676</v>
      </c>
      <c r="F32" s="90"/>
      <c r="G32" s="90"/>
      <c r="H32" s="96"/>
      <c r="I32" s="97">
        <f t="shared" si="2"/>
        <v>464.676</v>
      </c>
      <c r="J32" s="83"/>
      <c r="K32" s="83"/>
      <c r="L32" s="84"/>
      <c r="M32" s="83"/>
      <c r="N32" s="83"/>
      <c r="O32" s="85"/>
      <c r="P32" s="86">
        <f t="shared" si="3"/>
        <v>0</v>
      </c>
      <c r="Q32" s="87">
        <f t="shared" si="4"/>
        <v>464.676</v>
      </c>
    </row>
    <row r="33" spans="1:17" ht="31.5" customHeight="1">
      <c r="A33" s="6" t="s">
        <v>177</v>
      </c>
      <c r="B33" s="89" t="s">
        <v>195</v>
      </c>
      <c r="C33" s="94"/>
      <c r="D33" s="90"/>
      <c r="E33" s="96">
        <v>440.4</v>
      </c>
      <c r="F33" s="90"/>
      <c r="G33" s="90"/>
      <c r="H33" s="96"/>
      <c r="I33" s="97">
        <f t="shared" si="2"/>
        <v>440.4</v>
      </c>
      <c r="J33" s="83"/>
      <c r="K33" s="83"/>
      <c r="L33" s="84"/>
      <c r="M33" s="83"/>
      <c r="N33" s="83"/>
      <c r="O33" s="85"/>
      <c r="P33" s="86">
        <f t="shared" si="3"/>
        <v>0</v>
      </c>
      <c r="Q33" s="87">
        <f t="shared" si="4"/>
        <v>440.4</v>
      </c>
    </row>
    <row r="34" spans="1:17" ht="30" customHeight="1">
      <c r="A34" s="6" t="s">
        <v>178</v>
      </c>
      <c r="B34" s="89" t="s">
        <v>196</v>
      </c>
      <c r="C34" s="94"/>
      <c r="D34" s="90"/>
      <c r="E34" s="96">
        <v>160.164</v>
      </c>
      <c r="F34" s="90"/>
      <c r="G34" s="90"/>
      <c r="H34" s="96"/>
      <c r="I34" s="97">
        <f t="shared" si="2"/>
        <v>160.164</v>
      </c>
      <c r="J34" s="83"/>
      <c r="K34" s="83"/>
      <c r="L34" s="84"/>
      <c r="M34" s="83"/>
      <c r="N34" s="83"/>
      <c r="O34" s="85"/>
      <c r="P34" s="86">
        <f t="shared" si="3"/>
        <v>0</v>
      </c>
      <c r="Q34" s="87">
        <f t="shared" si="4"/>
        <v>160.164</v>
      </c>
    </row>
    <row r="35" spans="1:17" ht="30" customHeight="1">
      <c r="A35" s="6" t="s">
        <v>179</v>
      </c>
      <c r="B35" s="89" t="s">
        <v>197</v>
      </c>
      <c r="C35" s="94"/>
      <c r="D35" s="90"/>
      <c r="E35" s="96">
        <v>153.6</v>
      </c>
      <c r="F35" s="90"/>
      <c r="G35" s="90"/>
      <c r="H35" s="96"/>
      <c r="I35" s="97">
        <f t="shared" si="2"/>
        <v>153.6</v>
      </c>
      <c r="J35" s="83"/>
      <c r="K35" s="83"/>
      <c r="L35" s="84"/>
      <c r="M35" s="83"/>
      <c r="N35" s="83"/>
      <c r="O35" s="85"/>
      <c r="P35" s="86">
        <f t="shared" si="3"/>
        <v>0</v>
      </c>
      <c r="Q35" s="87">
        <f t="shared" si="4"/>
        <v>153.6</v>
      </c>
    </row>
    <row r="36" spans="1:17" ht="30.75" customHeight="1">
      <c r="A36" s="6" t="s">
        <v>180</v>
      </c>
      <c r="B36" s="89" t="s">
        <v>198</v>
      </c>
      <c r="C36" s="94"/>
      <c r="D36" s="90"/>
      <c r="E36" s="96">
        <v>296.4</v>
      </c>
      <c r="F36" s="90"/>
      <c r="G36" s="90"/>
      <c r="H36" s="96"/>
      <c r="I36" s="97">
        <f t="shared" si="2"/>
        <v>296.4</v>
      </c>
      <c r="J36" s="83"/>
      <c r="K36" s="83"/>
      <c r="L36" s="84"/>
      <c r="M36" s="83"/>
      <c r="N36" s="83"/>
      <c r="O36" s="85"/>
      <c r="P36" s="86">
        <f t="shared" si="3"/>
        <v>0</v>
      </c>
      <c r="Q36" s="87">
        <f t="shared" si="4"/>
        <v>296.4</v>
      </c>
    </row>
    <row r="37" spans="1:17" ht="31.5" customHeight="1">
      <c r="A37" s="6" t="s">
        <v>181</v>
      </c>
      <c r="B37" s="89" t="s">
        <v>199</v>
      </c>
      <c r="C37" s="94"/>
      <c r="D37" s="90"/>
      <c r="E37" s="96">
        <f>927.6+78.732</f>
        <v>1006.332</v>
      </c>
      <c r="F37" s="90"/>
      <c r="G37" s="90"/>
      <c r="H37" s="96"/>
      <c r="I37" s="97">
        <f t="shared" si="2"/>
        <v>1006.332</v>
      </c>
      <c r="J37" s="83"/>
      <c r="K37" s="83"/>
      <c r="L37" s="84"/>
      <c r="M37" s="83"/>
      <c r="N37" s="83"/>
      <c r="O37" s="85"/>
      <c r="P37" s="86">
        <f t="shared" si="3"/>
        <v>0</v>
      </c>
      <c r="Q37" s="87">
        <f t="shared" si="4"/>
        <v>1006.332</v>
      </c>
    </row>
    <row r="38" spans="1:17" ht="30.75" customHeight="1">
      <c r="A38" s="6" t="s">
        <v>182</v>
      </c>
      <c r="B38" s="89" t="s">
        <v>200</v>
      </c>
      <c r="C38" s="94"/>
      <c r="D38" s="90"/>
      <c r="E38" s="96">
        <v>537.6</v>
      </c>
      <c r="F38" s="90"/>
      <c r="G38" s="90"/>
      <c r="H38" s="96"/>
      <c r="I38" s="97">
        <f t="shared" si="2"/>
        <v>537.6</v>
      </c>
      <c r="J38" s="83"/>
      <c r="K38" s="83"/>
      <c r="L38" s="84"/>
      <c r="M38" s="83"/>
      <c r="N38" s="83"/>
      <c r="O38" s="85"/>
      <c r="P38" s="86">
        <f t="shared" si="3"/>
        <v>0</v>
      </c>
      <c r="Q38" s="87">
        <f t="shared" si="4"/>
        <v>537.6</v>
      </c>
    </row>
    <row r="39" spans="1:17" ht="30.75" customHeight="1">
      <c r="A39" s="6" t="s">
        <v>183</v>
      </c>
      <c r="B39" s="89" t="s">
        <v>201</v>
      </c>
      <c r="C39" s="94"/>
      <c r="D39" s="90"/>
      <c r="E39" s="96">
        <v>232.8</v>
      </c>
      <c r="F39" s="90"/>
      <c r="G39" s="90"/>
      <c r="H39" s="96"/>
      <c r="I39" s="97">
        <f t="shared" si="2"/>
        <v>232.8</v>
      </c>
      <c r="J39" s="83"/>
      <c r="K39" s="83"/>
      <c r="L39" s="84"/>
      <c r="M39" s="83"/>
      <c r="N39" s="83"/>
      <c r="O39" s="85"/>
      <c r="P39" s="86">
        <f t="shared" si="3"/>
        <v>0</v>
      </c>
      <c r="Q39" s="87">
        <f t="shared" si="4"/>
        <v>232.8</v>
      </c>
    </row>
    <row r="40" spans="1:17" ht="55.5" customHeight="1">
      <c r="A40" s="6" t="s">
        <v>59</v>
      </c>
      <c r="B40" s="89" t="s">
        <v>233</v>
      </c>
      <c r="C40" s="94"/>
      <c r="D40" s="90"/>
      <c r="E40" s="90"/>
      <c r="F40" s="90"/>
      <c r="G40" s="90"/>
      <c r="H40" s="95">
        <f>3000-252.23867</f>
        <v>2747.76133</v>
      </c>
      <c r="I40" s="65">
        <f t="shared" si="2"/>
        <v>2747.76133</v>
      </c>
      <c r="J40" s="36"/>
      <c r="K40" s="36"/>
      <c r="L40" s="37"/>
      <c r="M40" s="36"/>
      <c r="N40" s="36"/>
      <c r="O40" s="38"/>
      <c r="P40" s="39">
        <f t="shared" si="3"/>
        <v>0</v>
      </c>
      <c r="Q40" s="41">
        <f t="shared" si="4"/>
        <v>2747.76133</v>
      </c>
    </row>
    <row r="41" spans="1:17" ht="54" customHeight="1">
      <c r="A41" s="6" t="s">
        <v>60</v>
      </c>
      <c r="B41" s="89" t="s">
        <v>264</v>
      </c>
      <c r="C41" s="94"/>
      <c r="D41" s="90">
        <v>98896.3</v>
      </c>
      <c r="E41" s="90"/>
      <c r="F41" s="90"/>
      <c r="G41" s="90"/>
      <c r="H41" s="95">
        <v>6312.5</v>
      </c>
      <c r="I41" s="65">
        <f t="shared" si="2"/>
        <v>105208.8</v>
      </c>
      <c r="J41" s="114"/>
      <c r="K41" s="194">
        <v>49316.28174</v>
      </c>
      <c r="L41" s="187"/>
      <c r="M41" s="114"/>
      <c r="N41" s="114"/>
      <c r="O41" s="193">
        <v>3147.84777</v>
      </c>
      <c r="P41" s="39">
        <f t="shared" si="3"/>
        <v>52464.12951</v>
      </c>
      <c r="Q41" s="41">
        <f t="shared" si="4"/>
        <v>52744.670490000004</v>
      </c>
    </row>
    <row r="42" spans="1:17" ht="67.5" customHeight="1">
      <c r="A42" s="6" t="s">
        <v>61</v>
      </c>
      <c r="B42" s="89" t="s">
        <v>234</v>
      </c>
      <c r="C42" s="94"/>
      <c r="D42" s="90">
        <v>9752</v>
      </c>
      <c r="E42" s="90"/>
      <c r="F42" s="90"/>
      <c r="G42" s="90"/>
      <c r="H42" s="191">
        <f>622.5+382.11623</f>
        <v>1004.61623</v>
      </c>
      <c r="I42" s="65">
        <f t="shared" si="2"/>
        <v>10756.61623</v>
      </c>
      <c r="J42" s="36"/>
      <c r="K42" s="36"/>
      <c r="L42" s="37"/>
      <c r="M42" s="36"/>
      <c r="N42" s="36"/>
      <c r="O42" s="38"/>
      <c r="P42" s="39">
        <f t="shared" si="3"/>
        <v>0</v>
      </c>
      <c r="Q42" s="41">
        <f t="shared" si="4"/>
        <v>10756.61623</v>
      </c>
    </row>
    <row r="43" spans="1:17" ht="67.5" customHeight="1">
      <c r="A43" s="6" t="s">
        <v>62</v>
      </c>
      <c r="B43" s="89" t="s">
        <v>235</v>
      </c>
      <c r="C43" s="94"/>
      <c r="D43" s="90"/>
      <c r="E43" s="90"/>
      <c r="F43" s="90"/>
      <c r="G43" s="90"/>
      <c r="H43" s="95">
        <f>4415.7+5165.09</f>
        <v>9580.79</v>
      </c>
      <c r="I43" s="65">
        <f t="shared" si="2"/>
        <v>9580.79</v>
      </c>
      <c r="J43" s="36"/>
      <c r="K43" s="36"/>
      <c r="L43" s="37"/>
      <c r="M43" s="36"/>
      <c r="N43" s="36"/>
      <c r="O43" s="38"/>
      <c r="P43" s="39">
        <f t="shared" si="3"/>
        <v>0</v>
      </c>
      <c r="Q43" s="41">
        <f t="shared" si="4"/>
        <v>9580.79</v>
      </c>
    </row>
    <row r="44" spans="1:17" ht="66.75" customHeight="1">
      <c r="A44" s="6" t="s">
        <v>63</v>
      </c>
      <c r="B44" s="89" t="s">
        <v>236</v>
      </c>
      <c r="C44" s="94"/>
      <c r="D44" s="98">
        <v>12880</v>
      </c>
      <c r="E44" s="90"/>
      <c r="F44" s="90"/>
      <c r="G44" s="90"/>
      <c r="H44" s="101">
        <f>822.12232+0.03</f>
        <v>822.1523199999999</v>
      </c>
      <c r="I44" s="65">
        <f t="shared" si="2"/>
        <v>13702.15232</v>
      </c>
      <c r="J44" s="36"/>
      <c r="K44" s="36"/>
      <c r="L44" s="37"/>
      <c r="M44" s="36"/>
      <c r="N44" s="36"/>
      <c r="O44" s="38"/>
      <c r="P44" s="39">
        <f t="shared" si="3"/>
        <v>0</v>
      </c>
      <c r="Q44" s="41">
        <f t="shared" si="4"/>
        <v>13702.15232</v>
      </c>
    </row>
    <row r="45" spans="1:17" ht="78.75" customHeight="1">
      <c r="A45" s="6" t="s">
        <v>64</v>
      </c>
      <c r="B45" s="7" t="s">
        <v>237</v>
      </c>
      <c r="C45" s="94"/>
      <c r="D45" s="98">
        <v>13100.5</v>
      </c>
      <c r="E45" s="90"/>
      <c r="F45" s="90"/>
      <c r="G45" s="90"/>
      <c r="H45" s="101">
        <f>836.21414-0.03</f>
        <v>836.1841400000001</v>
      </c>
      <c r="I45" s="65">
        <f t="shared" si="2"/>
        <v>13936.68414</v>
      </c>
      <c r="J45" s="36"/>
      <c r="K45" s="36"/>
      <c r="L45" s="37"/>
      <c r="M45" s="36"/>
      <c r="N45" s="36"/>
      <c r="O45" s="38"/>
      <c r="P45" s="39">
        <f t="shared" si="3"/>
        <v>0</v>
      </c>
      <c r="Q45" s="41">
        <f t="shared" si="4"/>
        <v>13936.68414</v>
      </c>
    </row>
    <row r="46" spans="1:17" ht="80.25" customHeight="1">
      <c r="A46" s="6" t="s">
        <v>65</v>
      </c>
      <c r="B46" s="7" t="s">
        <v>238</v>
      </c>
      <c r="C46" s="99"/>
      <c r="D46" s="98">
        <v>15617.8</v>
      </c>
      <c r="E46" s="100"/>
      <c r="F46" s="100"/>
      <c r="G46" s="100"/>
      <c r="H46" s="101">
        <f>996.9-0.00146</f>
        <v>996.89854</v>
      </c>
      <c r="I46" s="65">
        <f t="shared" si="2"/>
        <v>16614.698539999998</v>
      </c>
      <c r="J46" s="36"/>
      <c r="K46" s="36"/>
      <c r="L46" s="37"/>
      <c r="M46" s="36"/>
      <c r="N46" s="36"/>
      <c r="O46" s="38"/>
      <c r="P46" s="39">
        <f t="shared" si="3"/>
        <v>0</v>
      </c>
      <c r="Q46" s="41">
        <f t="shared" si="4"/>
        <v>16614.698539999998</v>
      </c>
    </row>
    <row r="47" spans="1:17" ht="67.5" customHeight="1">
      <c r="A47" s="6" t="s">
        <v>202</v>
      </c>
      <c r="B47" s="7" t="s">
        <v>261</v>
      </c>
      <c r="C47" s="99"/>
      <c r="D47" s="102"/>
      <c r="E47" s="100">
        <f>1450-209.54152</f>
        <v>1240.45848</v>
      </c>
      <c r="F47" s="100"/>
      <c r="G47" s="100"/>
      <c r="H47" s="103">
        <v>209.54152</v>
      </c>
      <c r="I47" s="65">
        <f>SUM(C47:H47)</f>
        <v>1450</v>
      </c>
      <c r="J47" s="114"/>
      <c r="K47" s="114"/>
      <c r="L47" s="194">
        <v>1240.45848</v>
      </c>
      <c r="M47" s="114"/>
      <c r="N47" s="114"/>
      <c r="O47" s="193">
        <v>209.37466</v>
      </c>
      <c r="P47" s="39">
        <f t="shared" si="3"/>
        <v>1449.83314</v>
      </c>
      <c r="Q47" s="41">
        <f t="shared" si="4"/>
        <v>0.16686000000004242</v>
      </c>
    </row>
    <row r="48" spans="1:17" ht="42" customHeight="1">
      <c r="A48" s="226" t="s">
        <v>207</v>
      </c>
      <c r="B48" s="7" t="s">
        <v>223</v>
      </c>
      <c r="C48" s="230"/>
      <c r="D48" s="105"/>
      <c r="E48" s="192"/>
      <c r="F48" s="192"/>
      <c r="G48" s="192"/>
      <c r="H48" s="192">
        <f>225.44032+86.16854</f>
        <v>311.60886</v>
      </c>
      <c r="I48" s="39">
        <f>SUM(C48:H48)</f>
        <v>311.60886</v>
      </c>
      <c r="J48" s="74"/>
      <c r="K48" s="74"/>
      <c r="L48" s="74"/>
      <c r="M48" s="74"/>
      <c r="N48" s="74"/>
      <c r="O48" s="74"/>
      <c r="P48" s="39">
        <f t="shared" si="3"/>
        <v>0</v>
      </c>
      <c r="Q48" s="41">
        <f t="shared" si="4"/>
        <v>311.60886</v>
      </c>
    </row>
    <row r="49" spans="1:17" ht="66.75" customHeight="1">
      <c r="A49" s="226" t="s">
        <v>208</v>
      </c>
      <c r="B49" s="7" t="s">
        <v>260</v>
      </c>
      <c r="C49" s="230"/>
      <c r="D49" s="105"/>
      <c r="E49" s="192"/>
      <c r="F49" s="192"/>
      <c r="G49" s="192"/>
      <c r="H49" s="192">
        <f>786.42815+166.07013</f>
        <v>952.49828</v>
      </c>
      <c r="I49" s="39">
        <f>SUM(C49:H49)</f>
        <v>952.49828</v>
      </c>
      <c r="J49" s="74"/>
      <c r="K49" s="74"/>
      <c r="L49" s="74"/>
      <c r="M49" s="74"/>
      <c r="N49" s="74"/>
      <c r="O49" s="74"/>
      <c r="P49" s="39">
        <f t="shared" si="3"/>
        <v>0</v>
      </c>
      <c r="Q49" s="41">
        <f t="shared" si="4"/>
        <v>952.49828</v>
      </c>
    </row>
    <row r="50" spans="1:17" ht="68.25" customHeight="1" thickBot="1">
      <c r="A50" s="6" t="s">
        <v>278</v>
      </c>
      <c r="B50" s="7" t="s">
        <v>279</v>
      </c>
      <c r="C50" s="104"/>
      <c r="D50" s="105"/>
      <c r="E50" s="100">
        <v>933.99598</v>
      </c>
      <c r="F50" s="100"/>
      <c r="G50" s="100"/>
      <c r="H50" s="100"/>
      <c r="I50" s="65">
        <f>SUM(C50:H50)</f>
        <v>933.99598</v>
      </c>
      <c r="J50" s="36"/>
      <c r="K50" s="36"/>
      <c r="L50" s="36"/>
      <c r="M50" s="36"/>
      <c r="N50" s="36"/>
      <c r="O50" s="74"/>
      <c r="P50" s="39">
        <f>SUM(J50:O50)</f>
        <v>0</v>
      </c>
      <c r="Q50" s="41">
        <f>I50-P50</f>
        <v>933.99598</v>
      </c>
    </row>
    <row r="51" spans="1:17" ht="24.75" customHeight="1" thickBot="1">
      <c r="A51" s="4" t="s">
        <v>66</v>
      </c>
      <c r="B51" s="5" t="s">
        <v>67</v>
      </c>
      <c r="C51" s="106">
        <f aca="true" t="shared" si="5" ref="C51:H51">C52</f>
        <v>0</v>
      </c>
      <c r="D51" s="35">
        <f t="shared" si="5"/>
        <v>27357.7</v>
      </c>
      <c r="E51" s="107">
        <f t="shared" si="5"/>
        <v>0</v>
      </c>
      <c r="F51" s="35">
        <f t="shared" si="5"/>
        <v>0</v>
      </c>
      <c r="G51" s="35">
        <f t="shared" si="5"/>
        <v>0</v>
      </c>
      <c r="H51" s="35">
        <f t="shared" si="5"/>
        <v>0</v>
      </c>
      <c r="I51" s="34">
        <f aca="true" t="shared" si="6" ref="I51:I60">SUM(C51:H51)</f>
        <v>27357.7</v>
      </c>
      <c r="J51" s="33">
        <f aca="true" t="shared" si="7" ref="J51:O51">J52</f>
        <v>0</v>
      </c>
      <c r="K51" s="33">
        <f t="shared" si="7"/>
        <v>8193.61917</v>
      </c>
      <c r="L51" s="33">
        <f t="shared" si="7"/>
        <v>0</v>
      </c>
      <c r="M51" s="33">
        <f t="shared" si="7"/>
        <v>0</v>
      </c>
      <c r="N51" s="33">
        <f t="shared" si="7"/>
        <v>0</v>
      </c>
      <c r="O51" s="33">
        <f t="shared" si="7"/>
        <v>0</v>
      </c>
      <c r="P51" s="34">
        <f t="shared" si="3"/>
        <v>8193.61917</v>
      </c>
      <c r="Q51" s="35">
        <f t="shared" si="4"/>
        <v>19164.08083</v>
      </c>
    </row>
    <row r="52" spans="1:17" ht="71.25" customHeight="1" thickBot="1">
      <c r="A52" s="8" t="s">
        <v>68</v>
      </c>
      <c r="B52" s="163" t="s">
        <v>280</v>
      </c>
      <c r="C52" s="108"/>
      <c r="D52" s="109">
        <v>27357.7</v>
      </c>
      <c r="E52" s="109"/>
      <c r="F52" s="109"/>
      <c r="G52" s="109"/>
      <c r="H52" s="110"/>
      <c r="I52" s="34">
        <f t="shared" si="6"/>
        <v>27357.7</v>
      </c>
      <c r="J52" s="114"/>
      <c r="K52" s="194">
        <f>5471.532+2722.08717</f>
        <v>8193.61917</v>
      </c>
      <c r="L52" s="187"/>
      <c r="M52" s="114"/>
      <c r="N52" s="114"/>
      <c r="O52" s="186"/>
      <c r="P52" s="39">
        <f t="shared" si="3"/>
        <v>8193.61917</v>
      </c>
      <c r="Q52" s="40">
        <f t="shared" si="4"/>
        <v>19164.08083</v>
      </c>
    </row>
    <row r="53" spans="1:17" ht="24" customHeight="1" thickBot="1">
      <c r="A53" s="4" t="s">
        <v>69</v>
      </c>
      <c r="B53" s="5" t="s">
        <v>70</v>
      </c>
      <c r="C53" s="33">
        <f aca="true" t="shared" si="8" ref="C53:H53">C54</f>
        <v>113630.20000000001</v>
      </c>
      <c r="D53" s="33">
        <f t="shared" si="8"/>
        <v>187856.4</v>
      </c>
      <c r="E53" s="33">
        <f t="shared" si="8"/>
        <v>23010.972039999997</v>
      </c>
      <c r="F53" s="33">
        <f t="shared" si="8"/>
        <v>0</v>
      </c>
      <c r="G53" s="33">
        <f t="shared" si="8"/>
        <v>0</v>
      </c>
      <c r="H53" s="33">
        <f t="shared" si="8"/>
        <v>0</v>
      </c>
      <c r="I53" s="34">
        <f t="shared" si="6"/>
        <v>324497.57204</v>
      </c>
      <c r="J53" s="33">
        <f aca="true" t="shared" si="9" ref="J53:O53">J54</f>
        <v>15824.339789999998</v>
      </c>
      <c r="K53" s="33">
        <f t="shared" si="9"/>
        <v>11319.04002</v>
      </c>
      <c r="L53" s="33">
        <f t="shared" si="9"/>
        <v>1732.5726200000001</v>
      </c>
      <c r="M53" s="33">
        <f t="shared" si="9"/>
        <v>0</v>
      </c>
      <c r="N53" s="33">
        <f t="shared" si="9"/>
        <v>0</v>
      </c>
      <c r="O53" s="33">
        <f t="shared" si="9"/>
        <v>0</v>
      </c>
      <c r="P53" s="34">
        <f t="shared" si="3"/>
        <v>28875.952429999998</v>
      </c>
      <c r="Q53" s="35">
        <f t="shared" si="4"/>
        <v>295621.61961</v>
      </c>
    </row>
    <row r="54" spans="1:17" ht="26.25" customHeight="1" thickBot="1">
      <c r="A54" s="4" t="s">
        <v>71</v>
      </c>
      <c r="B54" s="5" t="s">
        <v>72</v>
      </c>
      <c r="C54" s="33">
        <f aca="true" t="shared" si="10" ref="C54:H54">C55+C57+C60+C56+C59+C58</f>
        <v>113630.20000000001</v>
      </c>
      <c r="D54" s="33">
        <f t="shared" si="10"/>
        <v>187856.4</v>
      </c>
      <c r="E54" s="33">
        <f t="shared" si="10"/>
        <v>23010.972039999997</v>
      </c>
      <c r="F54" s="33">
        <f t="shared" si="10"/>
        <v>0</v>
      </c>
      <c r="G54" s="33">
        <f t="shared" si="10"/>
        <v>0</v>
      </c>
      <c r="H54" s="33">
        <f t="shared" si="10"/>
        <v>0</v>
      </c>
      <c r="I54" s="34">
        <f>SUM(C54:H54)</f>
        <v>324497.57204</v>
      </c>
      <c r="J54" s="33">
        <f aca="true" t="shared" si="11" ref="J54:O54">J55+J57+J60+J56+J59+J58</f>
        <v>15824.339789999998</v>
      </c>
      <c r="K54" s="33">
        <f t="shared" si="11"/>
        <v>11319.04002</v>
      </c>
      <c r="L54" s="33">
        <f t="shared" si="11"/>
        <v>1732.5726200000001</v>
      </c>
      <c r="M54" s="33">
        <f t="shared" si="11"/>
        <v>0</v>
      </c>
      <c r="N54" s="33">
        <f t="shared" si="11"/>
        <v>0</v>
      </c>
      <c r="O54" s="33">
        <f t="shared" si="11"/>
        <v>0</v>
      </c>
      <c r="P54" s="34">
        <f t="shared" si="3"/>
        <v>28875.952429999998</v>
      </c>
      <c r="Q54" s="35">
        <f t="shared" si="4"/>
        <v>295621.61961</v>
      </c>
    </row>
    <row r="55" spans="1:17" ht="56.25" customHeight="1">
      <c r="A55" s="61" t="s">
        <v>157</v>
      </c>
      <c r="B55" s="153" t="s">
        <v>221</v>
      </c>
      <c r="C55" s="91"/>
      <c r="D55" s="103">
        <v>97060.4</v>
      </c>
      <c r="E55" s="111">
        <v>6195.4</v>
      </c>
      <c r="F55" s="36"/>
      <c r="G55" s="36"/>
      <c r="H55" s="112"/>
      <c r="I55" s="113">
        <f t="shared" si="6"/>
        <v>103255.79999999999</v>
      </c>
      <c r="J55" s="194"/>
      <c r="K55" s="194">
        <v>3911.43304</v>
      </c>
      <c r="L55" s="194">
        <v>249.66817</v>
      </c>
      <c r="M55" s="36"/>
      <c r="N55" s="36"/>
      <c r="O55" s="38"/>
      <c r="P55" s="39">
        <f t="shared" si="3"/>
        <v>4161.10121</v>
      </c>
      <c r="Q55" s="42">
        <f t="shared" si="4"/>
        <v>99094.69879</v>
      </c>
    </row>
    <row r="56" spans="1:17" ht="55.5" customHeight="1">
      <c r="A56" s="9" t="s">
        <v>158</v>
      </c>
      <c r="B56" s="153" t="s">
        <v>222</v>
      </c>
      <c r="C56" s="91">
        <v>52747.8</v>
      </c>
      <c r="D56" s="114">
        <v>18533.1</v>
      </c>
      <c r="E56" s="111">
        <v>4549.9</v>
      </c>
      <c r="F56" s="36"/>
      <c r="G56" s="36"/>
      <c r="H56" s="112"/>
      <c r="I56" s="113">
        <f t="shared" si="6"/>
        <v>75830.79999999999</v>
      </c>
      <c r="J56" s="194">
        <f>5667.82918+10156.51061</f>
        <v>15824.339789999998</v>
      </c>
      <c r="K56" s="194">
        <f>1991.39944+3568.50373</f>
        <v>5559.90317</v>
      </c>
      <c r="L56" s="194">
        <f>488.88693+876.06475</f>
        <v>1364.9516800000001</v>
      </c>
      <c r="M56" s="36"/>
      <c r="N56" s="36"/>
      <c r="O56" s="38"/>
      <c r="P56" s="39">
        <f t="shared" si="3"/>
        <v>22749.194639999994</v>
      </c>
      <c r="Q56" s="41">
        <f t="shared" si="4"/>
        <v>53081.605359999994</v>
      </c>
    </row>
    <row r="57" spans="1:17" ht="54.75" customHeight="1">
      <c r="A57" s="9" t="s">
        <v>281</v>
      </c>
      <c r="B57" s="154" t="s">
        <v>276</v>
      </c>
      <c r="C57" s="73"/>
      <c r="D57" s="114">
        <v>5133.4</v>
      </c>
      <c r="E57" s="111">
        <f>1365.3-1247.34723</f>
        <v>117.95276999999987</v>
      </c>
      <c r="F57" s="36"/>
      <c r="G57" s="36"/>
      <c r="H57" s="112"/>
      <c r="I57" s="113">
        <f t="shared" si="6"/>
        <v>5251.3527699999995</v>
      </c>
      <c r="J57" s="114"/>
      <c r="K57" s="194">
        <f>316.44049+1531.26332</f>
        <v>1847.70381</v>
      </c>
      <c r="L57" s="194">
        <f>20.20077+97.752</f>
        <v>117.95276999999999</v>
      </c>
      <c r="M57" s="36"/>
      <c r="N57" s="36"/>
      <c r="O57" s="38"/>
      <c r="P57" s="39">
        <f t="shared" si="3"/>
        <v>1965.6565799999998</v>
      </c>
      <c r="Q57" s="44">
        <f t="shared" si="4"/>
        <v>3285.6961899999997</v>
      </c>
    </row>
    <row r="58" spans="1:17" ht="56.25" customHeight="1">
      <c r="A58" s="9" t="s">
        <v>282</v>
      </c>
      <c r="B58" s="154" t="s">
        <v>283</v>
      </c>
      <c r="C58" s="73"/>
      <c r="D58" s="36"/>
      <c r="E58" s="111">
        <f>1186.97355+1701.4044+1088.24132</f>
        <v>3976.61927</v>
      </c>
      <c r="F58" s="36"/>
      <c r="G58" s="36"/>
      <c r="H58" s="112"/>
      <c r="I58" s="113">
        <f>SUM(C58:H58)</f>
        <v>3976.61927</v>
      </c>
      <c r="J58" s="114"/>
      <c r="K58" s="114"/>
      <c r="L58" s="187"/>
      <c r="M58" s="36"/>
      <c r="N58" s="36"/>
      <c r="O58" s="38"/>
      <c r="P58" s="39">
        <f>SUM(J58:O58)</f>
        <v>0</v>
      </c>
      <c r="Q58" s="44">
        <f>I58-P58</f>
        <v>3976.61927</v>
      </c>
    </row>
    <row r="59" spans="1:17" ht="45" customHeight="1">
      <c r="A59" s="9" t="s">
        <v>159</v>
      </c>
      <c r="B59" s="153" t="s">
        <v>232</v>
      </c>
      <c r="C59" s="74">
        <v>60882.4</v>
      </c>
      <c r="D59" s="36">
        <v>21391.2</v>
      </c>
      <c r="E59" s="92">
        <v>5251.6</v>
      </c>
      <c r="F59" s="36"/>
      <c r="G59" s="36"/>
      <c r="H59" s="112"/>
      <c r="I59" s="113">
        <f t="shared" si="6"/>
        <v>87525.20000000001</v>
      </c>
      <c r="J59" s="114"/>
      <c r="K59" s="114"/>
      <c r="L59" s="187"/>
      <c r="M59" s="36"/>
      <c r="N59" s="36"/>
      <c r="O59" s="38"/>
      <c r="P59" s="39">
        <f t="shared" si="3"/>
        <v>0</v>
      </c>
      <c r="Q59" s="41">
        <f t="shared" si="4"/>
        <v>87525.20000000001</v>
      </c>
    </row>
    <row r="60" spans="1:17" ht="47.25" customHeight="1" thickBot="1">
      <c r="A60" s="9" t="s">
        <v>160</v>
      </c>
      <c r="B60" s="153" t="s">
        <v>232</v>
      </c>
      <c r="C60" s="92"/>
      <c r="D60" s="102">
        <v>45738.3</v>
      </c>
      <c r="E60" s="92">
        <v>2919.5</v>
      </c>
      <c r="F60" s="36"/>
      <c r="G60" s="36"/>
      <c r="H60" s="112"/>
      <c r="I60" s="113">
        <f t="shared" si="6"/>
        <v>48657.8</v>
      </c>
      <c r="J60" s="114"/>
      <c r="K60" s="114"/>
      <c r="L60" s="187"/>
      <c r="M60" s="36"/>
      <c r="N60" s="36"/>
      <c r="O60" s="38"/>
      <c r="P60" s="39">
        <f t="shared" si="3"/>
        <v>0</v>
      </c>
      <c r="Q60" s="41">
        <f t="shared" si="4"/>
        <v>48657.8</v>
      </c>
    </row>
    <row r="61" spans="1:17" ht="25.5" customHeight="1" thickBot="1">
      <c r="A61" s="4" t="s">
        <v>73</v>
      </c>
      <c r="B61" s="5" t="s">
        <v>74</v>
      </c>
      <c r="C61" s="33">
        <f aca="true" t="shared" si="12" ref="C61:H61">C62+C63+C64+C65+C66+C67+C70+C68+C69+C71+C72+C73+C74+C75+C76</f>
        <v>0</v>
      </c>
      <c r="D61" s="33">
        <f t="shared" si="12"/>
        <v>0</v>
      </c>
      <c r="E61" s="33">
        <f t="shared" si="12"/>
        <v>19960.867550000003</v>
      </c>
      <c r="F61" s="33">
        <f t="shared" si="12"/>
        <v>0</v>
      </c>
      <c r="G61" s="33">
        <f t="shared" si="12"/>
        <v>0</v>
      </c>
      <c r="H61" s="33">
        <f t="shared" si="12"/>
        <v>0</v>
      </c>
      <c r="I61" s="34">
        <f>SUM(C61:H61)</f>
        <v>19960.867550000003</v>
      </c>
      <c r="J61" s="33">
        <f aca="true" t="shared" si="13" ref="J61:O61">J62+J63+J64+J65+J66+J67+J70+J68+J69+J71+J72+J73+J74+J75+J76</f>
        <v>0</v>
      </c>
      <c r="K61" s="33">
        <f t="shared" si="13"/>
        <v>0</v>
      </c>
      <c r="L61" s="33">
        <f t="shared" si="13"/>
        <v>582.8000000000001</v>
      </c>
      <c r="M61" s="33">
        <f t="shared" si="13"/>
        <v>0</v>
      </c>
      <c r="N61" s="33">
        <f t="shared" si="13"/>
        <v>0</v>
      </c>
      <c r="O61" s="33">
        <f t="shared" si="13"/>
        <v>0</v>
      </c>
      <c r="P61" s="34">
        <f t="shared" si="3"/>
        <v>582.8000000000001</v>
      </c>
      <c r="Q61" s="35">
        <f t="shared" si="4"/>
        <v>19378.067550000003</v>
      </c>
    </row>
    <row r="62" spans="1:17" ht="66.75" customHeight="1">
      <c r="A62" s="8" t="s">
        <v>75</v>
      </c>
      <c r="B62" s="158" t="s">
        <v>262</v>
      </c>
      <c r="C62" s="108"/>
      <c r="D62" s="109"/>
      <c r="E62" s="109">
        <v>3550</v>
      </c>
      <c r="F62" s="115"/>
      <c r="G62" s="116"/>
      <c r="H62" s="110"/>
      <c r="I62" s="93">
        <f aca="true" t="shared" si="14" ref="I62:I76">SUM(C62:H62)</f>
        <v>3550</v>
      </c>
      <c r="J62" s="36"/>
      <c r="K62" s="36"/>
      <c r="L62" s="187"/>
      <c r="M62" s="36"/>
      <c r="N62" s="36"/>
      <c r="O62" s="38"/>
      <c r="P62" s="39">
        <f t="shared" si="3"/>
        <v>0</v>
      </c>
      <c r="Q62" s="40">
        <f t="shared" si="4"/>
        <v>3550</v>
      </c>
    </row>
    <row r="63" spans="1:17" ht="122.25" customHeight="1">
      <c r="A63" s="9" t="s">
        <v>76</v>
      </c>
      <c r="B63" s="89" t="s">
        <v>247</v>
      </c>
      <c r="C63" s="73"/>
      <c r="D63" s="74"/>
      <c r="E63" s="192">
        <f>2205-5</f>
        <v>2200</v>
      </c>
      <c r="F63" s="117"/>
      <c r="G63" s="118"/>
      <c r="H63" s="119"/>
      <c r="I63" s="39">
        <f t="shared" si="14"/>
        <v>2200</v>
      </c>
      <c r="J63" s="36"/>
      <c r="K63" s="36"/>
      <c r="L63" s="187"/>
      <c r="M63" s="36"/>
      <c r="N63" s="36"/>
      <c r="O63" s="38"/>
      <c r="P63" s="39">
        <f t="shared" si="3"/>
        <v>0</v>
      </c>
      <c r="Q63" s="41">
        <f t="shared" si="4"/>
        <v>2200</v>
      </c>
    </row>
    <row r="64" spans="1:17" ht="119.25" customHeight="1">
      <c r="A64" s="9" t="s">
        <v>77</v>
      </c>
      <c r="B64" s="89" t="s">
        <v>248</v>
      </c>
      <c r="C64" s="73"/>
      <c r="D64" s="74"/>
      <c r="E64" s="74">
        <v>1842</v>
      </c>
      <c r="F64" s="117"/>
      <c r="G64" s="118"/>
      <c r="H64" s="119"/>
      <c r="I64" s="39">
        <f t="shared" si="14"/>
        <v>1842</v>
      </c>
      <c r="J64" s="36"/>
      <c r="K64" s="36"/>
      <c r="L64" s="187"/>
      <c r="M64" s="36"/>
      <c r="N64" s="36"/>
      <c r="O64" s="38"/>
      <c r="P64" s="39">
        <f t="shared" si="3"/>
        <v>0</v>
      </c>
      <c r="Q64" s="41">
        <f t="shared" si="4"/>
        <v>1842</v>
      </c>
    </row>
    <row r="65" spans="1:17" ht="114.75">
      <c r="A65" s="9" t="s">
        <v>78</v>
      </c>
      <c r="B65" s="89" t="s">
        <v>251</v>
      </c>
      <c r="C65" s="73"/>
      <c r="D65" s="74"/>
      <c r="E65" s="74">
        <v>85</v>
      </c>
      <c r="F65" s="117"/>
      <c r="G65" s="118"/>
      <c r="H65" s="119"/>
      <c r="I65" s="39">
        <f t="shared" si="14"/>
        <v>85</v>
      </c>
      <c r="J65" s="36"/>
      <c r="K65" s="36"/>
      <c r="L65" s="187">
        <v>70</v>
      </c>
      <c r="M65" s="36"/>
      <c r="N65" s="36"/>
      <c r="O65" s="38"/>
      <c r="P65" s="39">
        <f t="shared" si="3"/>
        <v>70</v>
      </c>
      <c r="Q65" s="41">
        <f t="shared" si="4"/>
        <v>15</v>
      </c>
    </row>
    <row r="66" spans="1:17" ht="66" customHeight="1">
      <c r="A66" s="9" t="s">
        <v>284</v>
      </c>
      <c r="B66" s="89" t="s">
        <v>249</v>
      </c>
      <c r="C66" s="73"/>
      <c r="D66" s="74"/>
      <c r="E66" s="192">
        <v>33.6</v>
      </c>
      <c r="F66" s="117"/>
      <c r="G66" s="118"/>
      <c r="H66" s="119"/>
      <c r="I66" s="39">
        <f t="shared" si="14"/>
        <v>33.6</v>
      </c>
      <c r="J66" s="36"/>
      <c r="K66" s="36"/>
      <c r="L66" s="187">
        <v>33.6</v>
      </c>
      <c r="M66" s="36"/>
      <c r="N66" s="36"/>
      <c r="O66" s="38"/>
      <c r="P66" s="39">
        <f t="shared" si="3"/>
        <v>33.6</v>
      </c>
      <c r="Q66" s="41">
        <f t="shared" si="4"/>
        <v>0</v>
      </c>
    </row>
    <row r="67" spans="1:17" ht="102">
      <c r="A67" s="9" t="s">
        <v>79</v>
      </c>
      <c r="B67" s="89" t="s">
        <v>263</v>
      </c>
      <c r="C67" s="73"/>
      <c r="D67" s="74"/>
      <c r="E67" s="74">
        <f>48+16.8+24</f>
        <v>88.8</v>
      </c>
      <c r="F67" s="117"/>
      <c r="G67" s="118"/>
      <c r="H67" s="119"/>
      <c r="I67" s="39">
        <f t="shared" si="14"/>
        <v>88.8</v>
      </c>
      <c r="J67" s="36"/>
      <c r="K67" s="36"/>
      <c r="L67" s="187">
        <v>88.8</v>
      </c>
      <c r="M67" s="36"/>
      <c r="N67" s="36"/>
      <c r="O67" s="38"/>
      <c r="P67" s="39">
        <f t="shared" si="3"/>
        <v>88.8</v>
      </c>
      <c r="Q67" s="41">
        <f t="shared" si="4"/>
        <v>0</v>
      </c>
    </row>
    <row r="68" spans="1:17" ht="89.25">
      <c r="A68" s="9" t="s">
        <v>165</v>
      </c>
      <c r="B68" s="89" t="s">
        <v>285</v>
      </c>
      <c r="C68" s="73"/>
      <c r="D68" s="74"/>
      <c r="E68" s="74">
        <v>136.51755</v>
      </c>
      <c r="F68" s="117"/>
      <c r="G68" s="118"/>
      <c r="H68" s="119"/>
      <c r="I68" s="39">
        <f t="shared" si="14"/>
        <v>136.51755</v>
      </c>
      <c r="J68" s="36"/>
      <c r="K68" s="36"/>
      <c r="L68" s="187"/>
      <c r="M68" s="36"/>
      <c r="N68" s="36"/>
      <c r="O68" s="38"/>
      <c r="P68" s="39">
        <f t="shared" si="3"/>
        <v>0</v>
      </c>
      <c r="Q68" s="41">
        <f t="shared" si="4"/>
        <v>136.51755</v>
      </c>
    </row>
    <row r="69" spans="1:17" ht="102">
      <c r="A69" s="9" t="s">
        <v>203</v>
      </c>
      <c r="B69" s="89" t="s">
        <v>206</v>
      </c>
      <c r="C69" s="73"/>
      <c r="D69" s="74"/>
      <c r="E69" s="74">
        <v>3000</v>
      </c>
      <c r="F69" s="117"/>
      <c r="G69" s="118"/>
      <c r="H69" s="119"/>
      <c r="I69" s="39">
        <f t="shared" si="14"/>
        <v>3000</v>
      </c>
      <c r="J69" s="36"/>
      <c r="K69" s="36"/>
      <c r="L69" s="187"/>
      <c r="M69" s="36"/>
      <c r="N69" s="36"/>
      <c r="O69" s="38"/>
      <c r="P69" s="39">
        <f t="shared" si="3"/>
        <v>0</v>
      </c>
      <c r="Q69" s="41">
        <f t="shared" si="4"/>
        <v>3000</v>
      </c>
    </row>
    <row r="70" spans="1:17" ht="63.75">
      <c r="A70" s="9" t="s">
        <v>204</v>
      </c>
      <c r="B70" s="89" t="s">
        <v>22</v>
      </c>
      <c r="C70" s="73"/>
      <c r="D70" s="74"/>
      <c r="E70" s="74">
        <v>8532.95</v>
      </c>
      <c r="F70" s="117"/>
      <c r="G70" s="118"/>
      <c r="H70" s="119"/>
      <c r="I70" s="39">
        <f t="shared" si="14"/>
        <v>8532.95</v>
      </c>
      <c r="J70" s="36"/>
      <c r="K70" s="36"/>
      <c r="L70" s="187"/>
      <c r="M70" s="36"/>
      <c r="N70" s="36"/>
      <c r="O70" s="38"/>
      <c r="P70" s="39">
        <f t="shared" si="3"/>
        <v>0</v>
      </c>
      <c r="Q70" s="41">
        <f t="shared" si="4"/>
        <v>8532.95</v>
      </c>
    </row>
    <row r="71" spans="1:17" ht="93.75" customHeight="1">
      <c r="A71" s="9" t="s">
        <v>205</v>
      </c>
      <c r="B71" s="89" t="s">
        <v>266</v>
      </c>
      <c r="C71" s="73"/>
      <c r="D71" s="74"/>
      <c r="E71" s="192">
        <v>130</v>
      </c>
      <c r="F71" s="188"/>
      <c r="G71" s="189"/>
      <c r="H71" s="119"/>
      <c r="I71" s="39">
        <f t="shared" si="14"/>
        <v>130</v>
      </c>
      <c r="J71" s="36"/>
      <c r="K71" s="36"/>
      <c r="L71" s="187">
        <v>130</v>
      </c>
      <c r="M71" s="36"/>
      <c r="N71" s="36"/>
      <c r="O71" s="38"/>
      <c r="P71" s="39">
        <f t="shared" si="3"/>
        <v>130</v>
      </c>
      <c r="Q71" s="41">
        <f t="shared" si="4"/>
        <v>0</v>
      </c>
    </row>
    <row r="72" spans="1:17" ht="119.25" customHeight="1">
      <c r="A72" s="196" t="s">
        <v>265</v>
      </c>
      <c r="B72" s="89" t="s">
        <v>268</v>
      </c>
      <c r="C72" s="197"/>
      <c r="D72" s="70"/>
      <c r="E72" s="100">
        <v>270</v>
      </c>
      <c r="F72" s="198"/>
      <c r="G72" s="199"/>
      <c r="H72" s="200"/>
      <c r="I72" s="65">
        <f t="shared" si="14"/>
        <v>270</v>
      </c>
      <c r="J72" s="62"/>
      <c r="K72" s="62"/>
      <c r="L72" s="201">
        <v>240</v>
      </c>
      <c r="M72" s="62"/>
      <c r="N72" s="62"/>
      <c r="O72" s="64"/>
      <c r="P72" s="65">
        <f t="shared" si="3"/>
        <v>240</v>
      </c>
      <c r="Q72" s="44">
        <f t="shared" si="4"/>
        <v>30</v>
      </c>
    </row>
    <row r="73" spans="1:17" ht="81.75" customHeight="1">
      <c r="A73" s="9" t="s">
        <v>267</v>
      </c>
      <c r="B73" s="7" t="s">
        <v>286</v>
      </c>
      <c r="C73" s="73"/>
      <c r="D73" s="74"/>
      <c r="E73" s="74">
        <v>24</v>
      </c>
      <c r="F73" s="117"/>
      <c r="G73" s="118"/>
      <c r="H73" s="119"/>
      <c r="I73" s="39">
        <f t="shared" si="14"/>
        <v>24</v>
      </c>
      <c r="J73" s="74"/>
      <c r="K73" s="74"/>
      <c r="L73" s="202"/>
      <c r="M73" s="74"/>
      <c r="N73" s="74"/>
      <c r="O73" s="38"/>
      <c r="P73" s="39">
        <f t="shared" si="3"/>
        <v>0</v>
      </c>
      <c r="Q73" s="41">
        <f t="shared" si="4"/>
        <v>24</v>
      </c>
    </row>
    <row r="74" spans="1:17" ht="78" customHeight="1">
      <c r="A74" s="9" t="s">
        <v>287</v>
      </c>
      <c r="B74" s="7" t="s">
        <v>288</v>
      </c>
      <c r="C74" s="73"/>
      <c r="D74" s="74"/>
      <c r="E74" s="74">
        <v>24</v>
      </c>
      <c r="F74" s="117"/>
      <c r="G74" s="118"/>
      <c r="H74" s="119"/>
      <c r="I74" s="39">
        <f t="shared" si="14"/>
        <v>24</v>
      </c>
      <c r="J74" s="74"/>
      <c r="K74" s="74"/>
      <c r="L74" s="202">
        <v>7.2</v>
      </c>
      <c r="M74" s="74"/>
      <c r="N74" s="74"/>
      <c r="O74" s="38"/>
      <c r="P74" s="39">
        <f t="shared" si="3"/>
        <v>7.2</v>
      </c>
      <c r="Q74" s="41">
        <f t="shared" si="4"/>
        <v>16.8</v>
      </c>
    </row>
    <row r="75" spans="1:17" ht="81" customHeight="1">
      <c r="A75" s="9" t="s">
        <v>289</v>
      </c>
      <c r="B75" s="7" t="s">
        <v>290</v>
      </c>
      <c r="C75" s="73"/>
      <c r="D75" s="74"/>
      <c r="E75" s="74">
        <v>24</v>
      </c>
      <c r="F75" s="117"/>
      <c r="G75" s="118"/>
      <c r="H75" s="119"/>
      <c r="I75" s="39">
        <f t="shared" si="14"/>
        <v>24</v>
      </c>
      <c r="J75" s="74"/>
      <c r="K75" s="74"/>
      <c r="L75" s="202">
        <v>7.2</v>
      </c>
      <c r="M75" s="74"/>
      <c r="N75" s="74"/>
      <c r="O75" s="38"/>
      <c r="P75" s="39">
        <f t="shared" si="3"/>
        <v>7.2</v>
      </c>
      <c r="Q75" s="41">
        <f t="shared" si="4"/>
        <v>16.8</v>
      </c>
    </row>
    <row r="76" spans="1:17" ht="119.25" customHeight="1" thickBot="1">
      <c r="A76" s="9" t="s">
        <v>291</v>
      </c>
      <c r="B76" s="7" t="s">
        <v>292</v>
      </c>
      <c r="C76" s="73"/>
      <c r="D76" s="74"/>
      <c r="E76" s="74">
        <v>20</v>
      </c>
      <c r="F76" s="117"/>
      <c r="G76" s="118"/>
      <c r="H76" s="119"/>
      <c r="I76" s="39">
        <f t="shared" si="14"/>
        <v>20</v>
      </c>
      <c r="J76" s="74"/>
      <c r="K76" s="74"/>
      <c r="L76" s="202">
        <v>6</v>
      </c>
      <c r="M76" s="74"/>
      <c r="N76" s="74"/>
      <c r="O76" s="38"/>
      <c r="P76" s="39">
        <f t="shared" si="3"/>
        <v>6</v>
      </c>
      <c r="Q76" s="41">
        <f t="shared" si="4"/>
        <v>14</v>
      </c>
    </row>
    <row r="77" spans="1:17" ht="30.75" customHeight="1" thickBot="1">
      <c r="A77" s="10" t="s">
        <v>80</v>
      </c>
      <c r="B77" s="11" t="s">
        <v>81</v>
      </c>
      <c r="C77" s="33">
        <f aca="true" t="shared" si="15" ref="C77:O77">C78</f>
        <v>0</v>
      </c>
      <c r="D77" s="33">
        <f t="shared" si="15"/>
        <v>26885.2</v>
      </c>
      <c r="E77" s="33">
        <f t="shared" si="15"/>
        <v>1716.1</v>
      </c>
      <c r="F77" s="33">
        <f t="shared" si="15"/>
        <v>0</v>
      </c>
      <c r="G77" s="33">
        <f t="shared" si="15"/>
        <v>0</v>
      </c>
      <c r="H77" s="33">
        <f t="shared" si="15"/>
        <v>0</v>
      </c>
      <c r="I77" s="34">
        <f t="shared" si="15"/>
        <v>28601.3</v>
      </c>
      <c r="J77" s="33">
        <f t="shared" si="15"/>
        <v>0</v>
      </c>
      <c r="K77" s="33">
        <f t="shared" si="15"/>
        <v>0</v>
      </c>
      <c r="L77" s="33">
        <f t="shared" si="15"/>
        <v>0</v>
      </c>
      <c r="M77" s="33">
        <f t="shared" si="15"/>
        <v>0</v>
      </c>
      <c r="N77" s="33">
        <f t="shared" si="15"/>
        <v>0</v>
      </c>
      <c r="O77" s="33">
        <f t="shared" si="15"/>
        <v>0</v>
      </c>
      <c r="P77" s="34">
        <f t="shared" si="3"/>
        <v>0</v>
      </c>
      <c r="Q77" s="35">
        <f t="shared" si="4"/>
        <v>28601.3</v>
      </c>
    </row>
    <row r="78" spans="1:17" ht="77.25" thickBot="1">
      <c r="A78" s="12" t="s">
        <v>82</v>
      </c>
      <c r="B78" s="157" t="s">
        <v>243</v>
      </c>
      <c r="C78" s="120"/>
      <c r="D78" s="121">
        <v>26885.2</v>
      </c>
      <c r="E78" s="121">
        <v>1716.1</v>
      </c>
      <c r="F78" s="120"/>
      <c r="G78" s="120"/>
      <c r="H78" s="122"/>
      <c r="I78" s="123">
        <f>SUM(C78:H78)</f>
        <v>28601.3</v>
      </c>
      <c r="J78" s="36"/>
      <c r="K78" s="114"/>
      <c r="L78" s="187"/>
      <c r="M78" s="36"/>
      <c r="N78" s="36"/>
      <c r="O78" s="38"/>
      <c r="P78" s="39">
        <f t="shared" si="3"/>
        <v>0</v>
      </c>
      <c r="Q78" s="40">
        <f t="shared" si="4"/>
        <v>28601.3</v>
      </c>
    </row>
    <row r="79" spans="1:17" ht="57" customHeight="1" thickBot="1">
      <c r="A79" s="10" t="s">
        <v>83</v>
      </c>
      <c r="B79" s="5" t="s">
        <v>84</v>
      </c>
      <c r="C79" s="33">
        <f aca="true" t="shared" si="16" ref="C79:O79">C80</f>
        <v>515.19265</v>
      </c>
      <c r="D79" s="33">
        <f t="shared" si="16"/>
        <v>4154.4073499999995</v>
      </c>
      <c r="E79" s="33">
        <f t="shared" si="16"/>
        <v>1034</v>
      </c>
      <c r="F79" s="33">
        <f t="shared" si="16"/>
        <v>0</v>
      </c>
      <c r="G79" s="33">
        <f t="shared" si="16"/>
        <v>0</v>
      </c>
      <c r="H79" s="33">
        <f t="shared" si="16"/>
        <v>0</v>
      </c>
      <c r="I79" s="34">
        <f t="shared" si="16"/>
        <v>5703.599999999999</v>
      </c>
      <c r="J79" s="33">
        <f t="shared" si="16"/>
        <v>281.01417</v>
      </c>
      <c r="K79" s="33">
        <f t="shared" si="16"/>
        <v>2266.0014300000003</v>
      </c>
      <c r="L79" s="33">
        <f t="shared" si="16"/>
        <v>564</v>
      </c>
      <c r="M79" s="33">
        <f t="shared" si="16"/>
        <v>0</v>
      </c>
      <c r="N79" s="33">
        <f t="shared" si="16"/>
        <v>0</v>
      </c>
      <c r="O79" s="33">
        <f t="shared" si="16"/>
        <v>0</v>
      </c>
      <c r="P79" s="34">
        <f t="shared" si="3"/>
        <v>3111.0156</v>
      </c>
      <c r="Q79" s="35">
        <f t="shared" si="4"/>
        <v>2592.5843999999993</v>
      </c>
    </row>
    <row r="80" spans="1:17" ht="45.75" customHeight="1" thickBot="1">
      <c r="A80" s="13" t="s">
        <v>85</v>
      </c>
      <c r="B80" s="156" t="s">
        <v>242</v>
      </c>
      <c r="C80" s="121">
        <f>440.4+74.79265</f>
        <v>515.19265</v>
      </c>
      <c r="D80" s="121">
        <f>3551.5+602.83595+0.0714</f>
        <v>4154.4073499999995</v>
      </c>
      <c r="E80" s="121">
        <v>1034</v>
      </c>
      <c r="F80" s="121"/>
      <c r="G80" s="121"/>
      <c r="H80" s="124"/>
      <c r="I80" s="34">
        <f>SUM(C80:H80)</f>
        <v>5703.599999999999</v>
      </c>
      <c r="J80" s="195">
        <f>272.62433+8.38984</f>
        <v>281.01417</v>
      </c>
      <c r="K80" s="195">
        <f>2198.34866+67.65277</f>
        <v>2266.0014300000003</v>
      </c>
      <c r="L80" s="195">
        <f>640.04261-76.04261</f>
        <v>564</v>
      </c>
      <c r="M80" s="36"/>
      <c r="N80" s="36"/>
      <c r="O80" s="38"/>
      <c r="P80" s="39">
        <f t="shared" si="3"/>
        <v>3111.0156</v>
      </c>
      <c r="Q80" s="40">
        <f t="shared" si="4"/>
        <v>2592.5843999999993</v>
      </c>
    </row>
    <row r="81" spans="1:17" ht="45" customHeight="1" thickBot="1">
      <c r="A81" s="10" t="s">
        <v>86</v>
      </c>
      <c r="B81" s="11" t="s">
        <v>87</v>
      </c>
      <c r="C81" s="33">
        <f aca="true" t="shared" si="17" ref="C81:O81">C82</f>
        <v>29173.3</v>
      </c>
      <c r="D81" s="33">
        <f t="shared" si="17"/>
        <v>1215.6</v>
      </c>
      <c r="E81" s="33">
        <f t="shared" si="17"/>
        <v>3090</v>
      </c>
      <c r="F81" s="33">
        <f t="shared" si="17"/>
        <v>0</v>
      </c>
      <c r="G81" s="33">
        <f t="shared" si="17"/>
        <v>0</v>
      </c>
      <c r="H81" s="33">
        <f t="shared" si="17"/>
        <v>0</v>
      </c>
      <c r="I81" s="34">
        <f t="shared" si="17"/>
        <v>33478.899999999994</v>
      </c>
      <c r="J81" s="33">
        <f t="shared" si="17"/>
        <v>0</v>
      </c>
      <c r="K81" s="33">
        <f t="shared" si="17"/>
        <v>0</v>
      </c>
      <c r="L81" s="33">
        <f t="shared" si="17"/>
        <v>0</v>
      </c>
      <c r="M81" s="33">
        <f t="shared" si="17"/>
        <v>0</v>
      </c>
      <c r="N81" s="33">
        <f t="shared" si="17"/>
        <v>0</v>
      </c>
      <c r="O81" s="33">
        <f t="shared" si="17"/>
        <v>0</v>
      </c>
      <c r="P81" s="34">
        <f t="shared" si="3"/>
        <v>0</v>
      </c>
      <c r="Q81" s="35">
        <f t="shared" si="4"/>
        <v>33478.899999999994</v>
      </c>
    </row>
    <row r="82" spans="1:17" ht="57.75" customHeight="1" thickBot="1">
      <c r="A82" s="14" t="s">
        <v>88</v>
      </c>
      <c r="B82" s="149" t="s">
        <v>245</v>
      </c>
      <c r="C82" s="62">
        <v>29173.3</v>
      </c>
      <c r="D82" s="62">
        <v>1215.6</v>
      </c>
      <c r="E82" s="62">
        <v>3090</v>
      </c>
      <c r="F82" s="62"/>
      <c r="G82" s="62"/>
      <c r="H82" s="125"/>
      <c r="I82" s="63">
        <f>SUM(C82:H82)</f>
        <v>33478.899999999994</v>
      </c>
      <c r="J82" s="36"/>
      <c r="K82" s="36"/>
      <c r="L82" s="37"/>
      <c r="M82" s="36"/>
      <c r="N82" s="36"/>
      <c r="O82" s="38"/>
      <c r="P82" s="39">
        <f t="shared" si="3"/>
        <v>0</v>
      </c>
      <c r="Q82" s="40">
        <f t="shared" si="4"/>
        <v>33478.899999999994</v>
      </c>
    </row>
    <row r="83" spans="1:17" ht="96" customHeight="1" thickBot="1">
      <c r="A83" s="10" t="s">
        <v>89</v>
      </c>
      <c r="B83" s="11" t="s">
        <v>90</v>
      </c>
      <c r="C83" s="33">
        <f aca="true" t="shared" si="18" ref="C83:O83">C84</f>
        <v>0</v>
      </c>
      <c r="D83" s="33">
        <f t="shared" si="18"/>
        <v>442.4</v>
      </c>
      <c r="E83" s="33">
        <f t="shared" si="18"/>
        <v>0</v>
      </c>
      <c r="F83" s="33">
        <f t="shared" si="18"/>
        <v>0</v>
      </c>
      <c r="G83" s="33">
        <f t="shared" si="18"/>
        <v>0</v>
      </c>
      <c r="H83" s="33">
        <f t="shared" si="18"/>
        <v>0</v>
      </c>
      <c r="I83" s="34">
        <f t="shared" si="18"/>
        <v>442.4</v>
      </c>
      <c r="J83" s="33">
        <f t="shared" si="18"/>
        <v>0</v>
      </c>
      <c r="K83" s="33">
        <f t="shared" si="18"/>
        <v>0</v>
      </c>
      <c r="L83" s="33">
        <f t="shared" si="18"/>
        <v>0</v>
      </c>
      <c r="M83" s="33">
        <f t="shared" si="18"/>
        <v>0</v>
      </c>
      <c r="N83" s="33">
        <f t="shared" si="18"/>
        <v>0</v>
      </c>
      <c r="O83" s="33">
        <f t="shared" si="18"/>
        <v>0</v>
      </c>
      <c r="P83" s="34">
        <f t="shared" si="3"/>
        <v>0</v>
      </c>
      <c r="Q83" s="35">
        <f t="shared" si="4"/>
        <v>442.4</v>
      </c>
    </row>
    <row r="84" spans="1:17" ht="110.25" customHeight="1" thickBot="1">
      <c r="A84" s="14" t="s">
        <v>91</v>
      </c>
      <c r="B84" s="149" t="s">
        <v>244</v>
      </c>
      <c r="C84" s="62"/>
      <c r="D84" s="62">
        <v>442.4</v>
      </c>
      <c r="E84" s="62"/>
      <c r="F84" s="62"/>
      <c r="G84" s="62"/>
      <c r="H84" s="125"/>
      <c r="I84" s="63">
        <f>SUM(C84:H84)</f>
        <v>442.4</v>
      </c>
      <c r="J84" s="36"/>
      <c r="K84" s="36"/>
      <c r="L84" s="37"/>
      <c r="M84" s="36"/>
      <c r="N84" s="36"/>
      <c r="O84" s="38"/>
      <c r="P84" s="39">
        <f t="shared" si="3"/>
        <v>0</v>
      </c>
      <c r="Q84" s="40">
        <f t="shared" si="4"/>
        <v>442.4</v>
      </c>
    </row>
    <row r="85" spans="1:17" ht="36" customHeight="1" thickBot="1">
      <c r="A85" s="16" t="s">
        <v>92</v>
      </c>
      <c r="B85" s="17" t="s">
        <v>93</v>
      </c>
      <c r="C85" s="126">
        <f aca="true" t="shared" si="19" ref="C85:O85">C86+C87</f>
        <v>0</v>
      </c>
      <c r="D85" s="126">
        <f t="shared" si="19"/>
        <v>0</v>
      </c>
      <c r="E85" s="126">
        <f t="shared" si="19"/>
        <v>16810.81734</v>
      </c>
      <c r="F85" s="126">
        <f t="shared" si="19"/>
        <v>0</v>
      </c>
      <c r="G85" s="126">
        <f t="shared" si="19"/>
        <v>0</v>
      </c>
      <c r="H85" s="126">
        <f t="shared" si="19"/>
        <v>0</v>
      </c>
      <c r="I85" s="127">
        <f t="shared" si="19"/>
        <v>16810.81734</v>
      </c>
      <c r="J85" s="33">
        <f t="shared" si="19"/>
        <v>0</v>
      </c>
      <c r="K85" s="33">
        <f t="shared" si="19"/>
        <v>0</v>
      </c>
      <c r="L85" s="33">
        <f t="shared" si="19"/>
        <v>0</v>
      </c>
      <c r="M85" s="33">
        <f t="shared" si="19"/>
        <v>0</v>
      </c>
      <c r="N85" s="33">
        <f t="shared" si="19"/>
        <v>0</v>
      </c>
      <c r="O85" s="33">
        <f t="shared" si="19"/>
        <v>0</v>
      </c>
      <c r="P85" s="34">
        <f>SUM(J85:O85)</f>
        <v>0</v>
      </c>
      <c r="Q85" s="35">
        <f t="shared" si="4"/>
        <v>16810.81734</v>
      </c>
    </row>
    <row r="86" spans="1:17" ht="41.25" customHeight="1">
      <c r="A86" s="18" t="s">
        <v>94</v>
      </c>
      <c r="B86" s="82" t="s">
        <v>224</v>
      </c>
      <c r="C86" s="128"/>
      <c r="D86" s="129"/>
      <c r="E86" s="203">
        <f>13461+1833.21919</f>
        <v>15294.21919</v>
      </c>
      <c r="F86" s="128"/>
      <c r="G86" s="128"/>
      <c r="H86" s="130"/>
      <c r="I86" s="131">
        <f>SUM(C86:H86)</f>
        <v>15294.21919</v>
      </c>
      <c r="J86" s="62"/>
      <c r="K86" s="62"/>
      <c r="L86" s="201"/>
      <c r="M86" s="62"/>
      <c r="N86" s="62"/>
      <c r="O86" s="64"/>
      <c r="P86" s="65">
        <f>SUM(J86:O86)</f>
        <v>0</v>
      </c>
      <c r="Q86" s="42">
        <f t="shared" si="4"/>
        <v>15294.21919</v>
      </c>
    </row>
    <row r="87" spans="1:17" ht="44.25" customHeight="1" thickBot="1">
      <c r="A87" s="19" t="s">
        <v>164</v>
      </c>
      <c r="B87" s="80" t="s">
        <v>225</v>
      </c>
      <c r="C87" s="71"/>
      <c r="D87" s="81"/>
      <c r="E87" s="81">
        <v>1516.59815</v>
      </c>
      <c r="F87" s="71"/>
      <c r="G87" s="71"/>
      <c r="H87" s="132"/>
      <c r="I87" s="68">
        <f>SUM(C87:H87)</f>
        <v>1516.59815</v>
      </c>
      <c r="J87" s="66"/>
      <c r="K87" s="66"/>
      <c r="L87" s="204"/>
      <c r="M87" s="66"/>
      <c r="N87" s="66"/>
      <c r="O87" s="67"/>
      <c r="P87" s="68">
        <f>SUM(J87:O87)</f>
        <v>0</v>
      </c>
      <c r="Q87" s="43">
        <f t="shared" si="4"/>
        <v>1516.59815</v>
      </c>
    </row>
    <row r="88" spans="1:17" ht="33" customHeight="1" thickBot="1">
      <c r="A88" s="16" t="s">
        <v>95</v>
      </c>
      <c r="B88" s="17" t="s">
        <v>96</v>
      </c>
      <c r="C88" s="126">
        <f aca="true" t="shared" si="20" ref="C88:O88">C89+C90+C91+C92+C93+C94+C95+C96+C97</f>
        <v>0</v>
      </c>
      <c r="D88" s="126">
        <f t="shared" si="20"/>
        <v>0</v>
      </c>
      <c r="E88" s="126">
        <f t="shared" si="20"/>
        <v>20891.82374</v>
      </c>
      <c r="F88" s="126">
        <f t="shared" si="20"/>
        <v>0</v>
      </c>
      <c r="G88" s="126">
        <f t="shared" si="20"/>
        <v>0</v>
      </c>
      <c r="H88" s="126">
        <f t="shared" si="20"/>
        <v>0</v>
      </c>
      <c r="I88" s="127">
        <f t="shared" si="20"/>
        <v>20891.82374</v>
      </c>
      <c r="J88" s="126">
        <f t="shared" si="20"/>
        <v>0</v>
      </c>
      <c r="K88" s="126">
        <f t="shared" si="20"/>
        <v>0</v>
      </c>
      <c r="L88" s="126">
        <f t="shared" si="20"/>
        <v>940.73047</v>
      </c>
      <c r="M88" s="126">
        <f t="shared" si="20"/>
        <v>0</v>
      </c>
      <c r="N88" s="126">
        <f t="shared" si="20"/>
        <v>0</v>
      </c>
      <c r="O88" s="126">
        <f t="shared" si="20"/>
        <v>0</v>
      </c>
      <c r="P88" s="34">
        <f>SUM(J88:O88)</f>
        <v>940.73047</v>
      </c>
      <c r="Q88" s="35">
        <f t="shared" si="4"/>
        <v>19951.09327</v>
      </c>
    </row>
    <row r="89" spans="1:17" ht="55.5" customHeight="1">
      <c r="A89" s="18" t="s">
        <v>97</v>
      </c>
      <c r="B89" s="150" t="s">
        <v>228</v>
      </c>
      <c r="C89" s="128"/>
      <c r="D89" s="133"/>
      <c r="E89" s="205">
        <f>3500-1833.21919-350.78081</f>
        <v>1316</v>
      </c>
      <c r="F89" s="128"/>
      <c r="G89" s="128"/>
      <c r="H89" s="130"/>
      <c r="I89" s="131">
        <f aca="true" t="shared" si="21" ref="I89:I98">SUM(C89:H89)</f>
        <v>1316</v>
      </c>
      <c r="J89" s="36"/>
      <c r="K89" s="36"/>
      <c r="L89" s="187"/>
      <c r="M89" s="36"/>
      <c r="N89" s="36"/>
      <c r="O89" s="38"/>
      <c r="P89" s="39">
        <f aca="true" t="shared" si="22" ref="P89:P120">SUM(J89:O89)</f>
        <v>0</v>
      </c>
      <c r="Q89" s="42">
        <f t="shared" si="4"/>
        <v>1316</v>
      </c>
    </row>
    <row r="90" spans="1:17" ht="67.5" customHeight="1">
      <c r="A90" s="22" t="s">
        <v>98</v>
      </c>
      <c r="B90" s="149" t="s">
        <v>229</v>
      </c>
      <c r="C90" s="70"/>
      <c r="D90" s="90"/>
      <c r="E90" s="100">
        <f>1171+0.11947-169.8168</f>
        <v>1001.30267</v>
      </c>
      <c r="F90" s="70"/>
      <c r="G90" s="70"/>
      <c r="H90" s="134"/>
      <c r="I90" s="65">
        <f t="shared" si="21"/>
        <v>1001.30267</v>
      </c>
      <c r="J90" s="36"/>
      <c r="K90" s="36"/>
      <c r="L90" s="187"/>
      <c r="M90" s="36"/>
      <c r="N90" s="36"/>
      <c r="O90" s="38"/>
      <c r="P90" s="39">
        <f t="shared" si="22"/>
        <v>0</v>
      </c>
      <c r="Q90" s="41">
        <f t="shared" si="4"/>
        <v>1001.30267</v>
      </c>
    </row>
    <row r="91" spans="1:17" ht="54.75" customHeight="1">
      <c r="A91" s="22" t="s">
        <v>99</v>
      </c>
      <c r="B91" s="149" t="s">
        <v>230</v>
      </c>
      <c r="C91" s="70"/>
      <c r="D91" s="90"/>
      <c r="E91" s="100">
        <f>2777.97097-1119.86083</f>
        <v>1658.1101399999998</v>
      </c>
      <c r="F91" s="70"/>
      <c r="G91" s="70"/>
      <c r="H91" s="134"/>
      <c r="I91" s="65">
        <f t="shared" si="21"/>
        <v>1658.1101399999998</v>
      </c>
      <c r="J91" s="36"/>
      <c r="K91" s="36"/>
      <c r="L91" s="187"/>
      <c r="M91" s="36"/>
      <c r="N91" s="36"/>
      <c r="O91" s="38"/>
      <c r="P91" s="39">
        <f t="shared" si="22"/>
        <v>0</v>
      </c>
      <c r="Q91" s="44">
        <f t="shared" si="4"/>
        <v>1658.1101399999998</v>
      </c>
    </row>
    <row r="92" spans="1:17" ht="56.25" customHeight="1">
      <c r="A92" s="22" t="s">
        <v>100</v>
      </c>
      <c r="B92" s="149" t="s">
        <v>231</v>
      </c>
      <c r="C92" s="70"/>
      <c r="D92" s="90"/>
      <c r="E92" s="100">
        <f>1104.91651-410.55362</f>
        <v>694.36289</v>
      </c>
      <c r="F92" s="70"/>
      <c r="G92" s="70"/>
      <c r="H92" s="134"/>
      <c r="I92" s="65">
        <f t="shared" si="21"/>
        <v>694.36289</v>
      </c>
      <c r="J92" s="62"/>
      <c r="K92" s="62"/>
      <c r="L92" s="201"/>
      <c r="M92" s="62"/>
      <c r="N92" s="62"/>
      <c r="O92" s="64"/>
      <c r="P92" s="65">
        <f t="shared" si="22"/>
        <v>0</v>
      </c>
      <c r="Q92" s="44">
        <f aca="true" t="shared" si="23" ref="Q92:Q151">I92-P92</f>
        <v>694.36289</v>
      </c>
    </row>
    <row r="93" spans="1:17" ht="69.75" customHeight="1">
      <c r="A93" s="22" t="s">
        <v>161</v>
      </c>
      <c r="B93" s="151" t="s">
        <v>293</v>
      </c>
      <c r="C93" s="70"/>
      <c r="D93" s="70"/>
      <c r="E93" s="162">
        <v>2521.52849</v>
      </c>
      <c r="F93" s="135"/>
      <c r="G93" s="135"/>
      <c r="H93" s="136"/>
      <c r="I93" s="78">
        <f t="shared" si="21"/>
        <v>2521.52849</v>
      </c>
      <c r="J93" s="75"/>
      <c r="K93" s="76"/>
      <c r="L93" s="206"/>
      <c r="M93" s="76"/>
      <c r="N93" s="76"/>
      <c r="O93" s="77"/>
      <c r="P93" s="78">
        <f t="shared" si="22"/>
        <v>0</v>
      </c>
      <c r="Q93" s="79">
        <f t="shared" si="23"/>
        <v>2521.52849</v>
      </c>
    </row>
    <row r="94" spans="1:17" ht="54.75" customHeight="1">
      <c r="A94" s="22" t="s">
        <v>162</v>
      </c>
      <c r="B94" s="152" t="s">
        <v>294</v>
      </c>
      <c r="C94" s="70"/>
      <c r="D94" s="70"/>
      <c r="E94" s="162">
        <v>1634.34797</v>
      </c>
      <c r="F94" s="135"/>
      <c r="G94" s="135"/>
      <c r="H94" s="136"/>
      <c r="I94" s="78">
        <f t="shared" si="21"/>
        <v>1634.34797</v>
      </c>
      <c r="J94" s="75"/>
      <c r="K94" s="76"/>
      <c r="L94" s="206"/>
      <c r="M94" s="76"/>
      <c r="N94" s="76"/>
      <c r="O94" s="77"/>
      <c r="P94" s="78">
        <f t="shared" si="22"/>
        <v>0</v>
      </c>
      <c r="Q94" s="79">
        <f t="shared" si="23"/>
        <v>1634.34797</v>
      </c>
    </row>
    <row r="95" spans="1:17" ht="57.75" customHeight="1">
      <c r="A95" s="24" t="s">
        <v>163</v>
      </c>
      <c r="B95" s="164" t="s">
        <v>295</v>
      </c>
      <c r="C95" s="76"/>
      <c r="D95" s="76"/>
      <c r="E95" s="206">
        <v>951.1936</v>
      </c>
      <c r="F95" s="76"/>
      <c r="G95" s="76"/>
      <c r="H95" s="207"/>
      <c r="I95" s="208">
        <f t="shared" si="21"/>
        <v>951.1936</v>
      </c>
      <c r="J95" s="76"/>
      <c r="K95" s="76"/>
      <c r="L95" s="193">
        <v>940.73047</v>
      </c>
      <c r="M95" s="76"/>
      <c r="N95" s="76"/>
      <c r="O95" s="76"/>
      <c r="P95" s="208">
        <f t="shared" si="22"/>
        <v>940.73047</v>
      </c>
      <c r="Q95" s="209">
        <f t="shared" si="23"/>
        <v>10.463129999999978</v>
      </c>
    </row>
    <row r="96" spans="1:17" ht="42" customHeight="1">
      <c r="A96" s="24" t="s">
        <v>296</v>
      </c>
      <c r="B96" s="164" t="s">
        <v>297</v>
      </c>
      <c r="C96" s="76"/>
      <c r="D96" s="76"/>
      <c r="E96" s="206">
        <v>395.54618</v>
      </c>
      <c r="F96" s="76"/>
      <c r="G96" s="76"/>
      <c r="H96" s="207"/>
      <c r="I96" s="208">
        <f t="shared" si="21"/>
        <v>395.54618</v>
      </c>
      <c r="J96" s="76"/>
      <c r="K96" s="76"/>
      <c r="L96" s="206"/>
      <c r="M96" s="76"/>
      <c r="N96" s="76"/>
      <c r="O96" s="76"/>
      <c r="P96" s="208">
        <f>SUM(J96:O96)</f>
        <v>0</v>
      </c>
      <c r="Q96" s="209">
        <f>I96-P96</f>
        <v>395.54618</v>
      </c>
    </row>
    <row r="97" spans="1:17" ht="57.75" customHeight="1">
      <c r="A97" s="24" t="s">
        <v>298</v>
      </c>
      <c r="B97" s="154" t="s">
        <v>37</v>
      </c>
      <c r="C97" s="206"/>
      <c r="D97" s="206"/>
      <c r="E97" s="206">
        <f>E98+E99+E100+E101+E102+E103+E104</f>
        <v>10719.4318</v>
      </c>
      <c r="F97" s="206"/>
      <c r="G97" s="206"/>
      <c r="H97" s="231"/>
      <c r="I97" s="208">
        <f t="shared" si="21"/>
        <v>10719.4318</v>
      </c>
      <c r="J97" s="76"/>
      <c r="K97" s="76"/>
      <c r="L97" s="76"/>
      <c r="M97" s="76"/>
      <c r="N97" s="76"/>
      <c r="O97" s="76"/>
      <c r="P97" s="208">
        <f>SUM(J97:O97)</f>
        <v>0</v>
      </c>
      <c r="Q97" s="209">
        <f>I97-P97</f>
        <v>10719.4318</v>
      </c>
    </row>
    <row r="98" spans="1:17" ht="46.5" customHeight="1">
      <c r="A98" s="232" t="s">
        <v>23</v>
      </c>
      <c r="B98" s="233" t="s">
        <v>30</v>
      </c>
      <c r="C98" s="234"/>
      <c r="D98" s="234"/>
      <c r="E98" s="234">
        <v>1271.39581</v>
      </c>
      <c r="F98" s="234"/>
      <c r="G98" s="234"/>
      <c r="H98" s="235"/>
      <c r="I98" s="236">
        <f t="shared" si="21"/>
        <v>1271.39581</v>
      </c>
      <c r="J98" s="237"/>
      <c r="K98" s="237"/>
      <c r="L98" s="237"/>
      <c r="M98" s="237"/>
      <c r="N98" s="237"/>
      <c r="O98" s="237"/>
      <c r="P98" s="236">
        <f>SUM(J98:O98)</f>
        <v>0</v>
      </c>
      <c r="Q98" s="238">
        <f>I98-P98</f>
        <v>1271.39581</v>
      </c>
    </row>
    <row r="99" spans="1:17" ht="44.25" customHeight="1">
      <c r="A99" s="232" t="s">
        <v>24</v>
      </c>
      <c r="B99" s="233" t="s">
        <v>31</v>
      </c>
      <c r="C99" s="234"/>
      <c r="D99" s="234"/>
      <c r="E99" s="234">
        <v>2494.86017</v>
      </c>
      <c r="F99" s="234"/>
      <c r="G99" s="234"/>
      <c r="H99" s="235"/>
      <c r="I99" s="236">
        <f aca="true" t="shared" si="24" ref="I99:I104">SUM(C99:H99)</f>
        <v>2494.86017</v>
      </c>
      <c r="J99" s="237"/>
      <c r="K99" s="237"/>
      <c r="L99" s="237"/>
      <c r="M99" s="237"/>
      <c r="N99" s="237"/>
      <c r="O99" s="237"/>
      <c r="P99" s="236">
        <f aca="true" t="shared" si="25" ref="P99:P104">SUM(J99:O99)</f>
        <v>0</v>
      </c>
      <c r="Q99" s="238">
        <f aca="true" t="shared" si="26" ref="Q99:Q104">I99-P99</f>
        <v>2494.86017</v>
      </c>
    </row>
    <row r="100" spans="1:17" ht="46.5" customHeight="1">
      <c r="A100" s="232" t="s">
        <v>25</v>
      </c>
      <c r="B100" s="233" t="s">
        <v>32</v>
      </c>
      <c r="C100" s="234"/>
      <c r="D100" s="234"/>
      <c r="E100" s="234">
        <v>1386.77964</v>
      </c>
      <c r="F100" s="234"/>
      <c r="G100" s="234"/>
      <c r="H100" s="235"/>
      <c r="I100" s="236">
        <f t="shared" si="24"/>
        <v>1386.77964</v>
      </c>
      <c r="J100" s="237"/>
      <c r="K100" s="237"/>
      <c r="L100" s="237"/>
      <c r="M100" s="237"/>
      <c r="N100" s="237"/>
      <c r="O100" s="237"/>
      <c r="P100" s="236">
        <f t="shared" si="25"/>
        <v>0</v>
      </c>
      <c r="Q100" s="238">
        <f t="shared" si="26"/>
        <v>1386.77964</v>
      </c>
    </row>
    <row r="101" spans="1:17" ht="45" customHeight="1">
      <c r="A101" s="232" t="s">
        <v>26</v>
      </c>
      <c r="B101" s="233" t="s">
        <v>33</v>
      </c>
      <c r="C101" s="234"/>
      <c r="D101" s="234"/>
      <c r="E101" s="234">
        <v>458.30482</v>
      </c>
      <c r="F101" s="234"/>
      <c r="G101" s="234"/>
      <c r="H101" s="235"/>
      <c r="I101" s="236">
        <f t="shared" si="24"/>
        <v>458.30482</v>
      </c>
      <c r="J101" s="237"/>
      <c r="K101" s="237"/>
      <c r="L101" s="237"/>
      <c r="M101" s="237"/>
      <c r="N101" s="237"/>
      <c r="O101" s="237"/>
      <c r="P101" s="236">
        <f t="shared" si="25"/>
        <v>0</v>
      </c>
      <c r="Q101" s="238">
        <f t="shared" si="26"/>
        <v>458.30482</v>
      </c>
    </row>
    <row r="102" spans="1:17" ht="44.25" customHeight="1">
      <c r="A102" s="232" t="s">
        <v>27</v>
      </c>
      <c r="B102" s="233" t="s">
        <v>34</v>
      </c>
      <c r="C102" s="234"/>
      <c r="D102" s="234"/>
      <c r="E102" s="234">
        <v>1682.55325</v>
      </c>
      <c r="F102" s="234"/>
      <c r="G102" s="234"/>
      <c r="H102" s="235"/>
      <c r="I102" s="236">
        <f t="shared" si="24"/>
        <v>1682.55325</v>
      </c>
      <c r="J102" s="237"/>
      <c r="K102" s="237"/>
      <c r="L102" s="237"/>
      <c r="M102" s="237"/>
      <c r="N102" s="237"/>
      <c r="O102" s="237"/>
      <c r="P102" s="236">
        <f t="shared" si="25"/>
        <v>0</v>
      </c>
      <c r="Q102" s="238">
        <f t="shared" si="26"/>
        <v>1682.55325</v>
      </c>
    </row>
    <row r="103" spans="1:17" ht="45" customHeight="1">
      <c r="A103" s="232" t="s">
        <v>28</v>
      </c>
      <c r="B103" s="233" t="s">
        <v>35</v>
      </c>
      <c r="C103" s="234"/>
      <c r="D103" s="234"/>
      <c r="E103" s="234">
        <v>1679.25821</v>
      </c>
      <c r="F103" s="234"/>
      <c r="G103" s="234"/>
      <c r="H103" s="235"/>
      <c r="I103" s="236">
        <f t="shared" si="24"/>
        <v>1679.25821</v>
      </c>
      <c r="J103" s="237"/>
      <c r="K103" s="237"/>
      <c r="L103" s="237"/>
      <c r="M103" s="237"/>
      <c r="N103" s="237"/>
      <c r="O103" s="237"/>
      <c r="P103" s="236">
        <f t="shared" si="25"/>
        <v>0</v>
      </c>
      <c r="Q103" s="238">
        <f t="shared" si="26"/>
        <v>1679.25821</v>
      </c>
    </row>
    <row r="104" spans="1:17" ht="43.5" customHeight="1" thickBot="1">
      <c r="A104" s="239" t="s">
        <v>29</v>
      </c>
      <c r="B104" s="240" t="s">
        <v>36</v>
      </c>
      <c r="C104" s="241"/>
      <c r="D104" s="241"/>
      <c r="E104" s="241">
        <v>1746.2799</v>
      </c>
      <c r="F104" s="241"/>
      <c r="G104" s="241"/>
      <c r="H104" s="242"/>
      <c r="I104" s="243">
        <f t="shared" si="24"/>
        <v>1746.2799</v>
      </c>
      <c r="J104" s="244"/>
      <c r="K104" s="244"/>
      <c r="L104" s="244"/>
      <c r="M104" s="244"/>
      <c r="N104" s="244"/>
      <c r="O104" s="244"/>
      <c r="P104" s="243">
        <f t="shared" si="25"/>
        <v>0</v>
      </c>
      <c r="Q104" s="245">
        <f t="shared" si="26"/>
        <v>1746.2799</v>
      </c>
    </row>
    <row r="105" spans="1:17" ht="26.25" customHeight="1" thickBot="1">
      <c r="A105" s="16" t="s">
        <v>101</v>
      </c>
      <c r="B105" s="5" t="s">
        <v>102</v>
      </c>
      <c r="C105" s="107">
        <f aca="true" t="shared" si="27" ref="C105:H105">C106+C114+C118+C121</f>
        <v>486.1</v>
      </c>
      <c r="D105" s="35">
        <f t="shared" si="27"/>
        <v>153.6</v>
      </c>
      <c r="E105" s="35">
        <f t="shared" si="27"/>
        <v>23904.374300000003</v>
      </c>
      <c r="F105" s="35">
        <f t="shared" si="27"/>
        <v>0</v>
      </c>
      <c r="G105" s="35">
        <f t="shared" si="27"/>
        <v>0</v>
      </c>
      <c r="H105" s="137">
        <f t="shared" si="27"/>
        <v>0</v>
      </c>
      <c r="I105" s="34">
        <f>SUM(C105:H105)</f>
        <v>24544.074300000004</v>
      </c>
      <c r="J105" s="33">
        <f aca="true" t="shared" si="28" ref="J105:O105">J106+J114+J118+J121</f>
        <v>0</v>
      </c>
      <c r="K105" s="33">
        <f t="shared" si="28"/>
        <v>0</v>
      </c>
      <c r="L105" s="33">
        <f t="shared" si="28"/>
        <v>5512.7902699999995</v>
      </c>
      <c r="M105" s="33">
        <f t="shared" si="28"/>
        <v>0</v>
      </c>
      <c r="N105" s="33">
        <f t="shared" si="28"/>
        <v>0</v>
      </c>
      <c r="O105" s="33">
        <f t="shared" si="28"/>
        <v>0</v>
      </c>
      <c r="P105" s="34">
        <f t="shared" si="22"/>
        <v>5512.7902699999995</v>
      </c>
      <c r="Q105" s="35">
        <f t="shared" si="23"/>
        <v>19031.284030000003</v>
      </c>
    </row>
    <row r="106" spans="1:17" ht="25.5" customHeight="1" thickBot="1">
      <c r="A106" s="16" t="s">
        <v>103</v>
      </c>
      <c r="B106" s="5" t="s">
        <v>104</v>
      </c>
      <c r="C106" s="126">
        <f aca="true" t="shared" si="29" ref="C106:O106">C107+C108+C109+C110+C111+C112+C113</f>
        <v>486.1</v>
      </c>
      <c r="D106" s="126">
        <f t="shared" si="29"/>
        <v>153.6</v>
      </c>
      <c r="E106" s="126">
        <f t="shared" si="29"/>
        <v>7824.710840000001</v>
      </c>
      <c r="F106" s="126">
        <f t="shared" si="29"/>
        <v>0</v>
      </c>
      <c r="G106" s="126">
        <f t="shared" si="29"/>
        <v>0</v>
      </c>
      <c r="H106" s="126">
        <f t="shared" si="29"/>
        <v>0</v>
      </c>
      <c r="I106" s="127">
        <f t="shared" si="29"/>
        <v>8464.41084</v>
      </c>
      <c r="J106" s="126">
        <f t="shared" si="29"/>
        <v>0</v>
      </c>
      <c r="K106" s="126">
        <f t="shared" si="29"/>
        <v>0</v>
      </c>
      <c r="L106" s="126">
        <f t="shared" si="29"/>
        <v>343</v>
      </c>
      <c r="M106" s="126">
        <f t="shared" si="29"/>
        <v>0</v>
      </c>
      <c r="N106" s="126">
        <f t="shared" si="29"/>
        <v>0</v>
      </c>
      <c r="O106" s="126">
        <f t="shared" si="29"/>
        <v>0</v>
      </c>
      <c r="P106" s="34">
        <f t="shared" si="22"/>
        <v>343</v>
      </c>
      <c r="Q106" s="35">
        <f t="shared" si="23"/>
        <v>8121.4108400000005</v>
      </c>
    </row>
    <row r="107" spans="1:17" ht="133.5" customHeight="1">
      <c r="A107" s="20" t="s">
        <v>105</v>
      </c>
      <c r="B107" s="148" t="s">
        <v>299</v>
      </c>
      <c r="C107" s="69"/>
      <c r="D107" s="138"/>
      <c r="E107" s="159">
        <f>1255+720.46+0.00412</f>
        <v>1975.46412</v>
      </c>
      <c r="F107" s="69"/>
      <c r="G107" s="69"/>
      <c r="H107" s="139"/>
      <c r="I107" s="63">
        <f aca="true" t="shared" si="30" ref="I107:I112">SUM(C107:H107)</f>
        <v>1975.46412</v>
      </c>
      <c r="J107" s="36"/>
      <c r="K107" s="36"/>
      <c r="L107" s="194">
        <v>70</v>
      </c>
      <c r="M107" s="36"/>
      <c r="N107" s="36"/>
      <c r="O107" s="38"/>
      <c r="P107" s="39">
        <f t="shared" si="22"/>
        <v>70</v>
      </c>
      <c r="Q107" s="42">
        <f t="shared" si="23"/>
        <v>1905.46412</v>
      </c>
    </row>
    <row r="108" spans="1:17" ht="131.25" customHeight="1">
      <c r="A108" s="22" t="s">
        <v>106</v>
      </c>
      <c r="B108" s="149" t="s">
        <v>300</v>
      </c>
      <c r="C108" s="70"/>
      <c r="D108" s="135"/>
      <c r="E108" s="160">
        <f>1235+764.15+319.94011+0.00108</f>
        <v>2319.09119</v>
      </c>
      <c r="F108" s="70"/>
      <c r="G108" s="70"/>
      <c r="H108" s="134"/>
      <c r="I108" s="65">
        <f t="shared" si="30"/>
        <v>2319.09119</v>
      </c>
      <c r="J108" s="36"/>
      <c r="K108" s="36"/>
      <c r="L108" s="194">
        <v>70</v>
      </c>
      <c r="M108" s="36"/>
      <c r="N108" s="36"/>
      <c r="O108" s="38"/>
      <c r="P108" s="39">
        <f t="shared" si="22"/>
        <v>70</v>
      </c>
      <c r="Q108" s="44">
        <f t="shared" si="23"/>
        <v>2249.09119</v>
      </c>
    </row>
    <row r="109" spans="1:17" ht="147" customHeight="1">
      <c r="A109" s="22" t="s">
        <v>107</v>
      </c>
      <c r="B109" s="149" t="s">
        <v>271</v>
      </c>
      <c r="C109" s="161"/>
      <c r="D109" s="162"/>
      <c r="E109" s="160">
        <f>1395+924.09-319.94011</f>
        <v>1999.1498900000001</v>
      </c>
      <c r="F109" s="70"/>
      <c r="G109" s="70"/>
      <c r="H109" s="134"/>
      <c r="I109" s="65">
        <f t="shared" si="30"/>
        <v>1999.1498900000001</v>
      </c>
      <c r="J109" s="36"/>
      <c r="K109" s="36"/>
      <c r="L109" s="187">
        <v>70</v>
      </c>
      <c r="M109" s="36"/>
      <c r="N109" s="36"/>
      <c r="O109" s="38"/>
      <c r="P109" s="39">
        <f t="shared" si="22"/>
        <v>70</v>
      </c>
      <c r="Q109" s="44">
        <f t="shared" si="23"/>
        <v>1929.1498900000001</v>
      </c>
    </row>
    <row r="110" spans="1:17" ht="132.75" customHeight="1">
      <c r="A110" s="22" t="s">
        <v>108</v>
      </c>
      <c r="B110" s="151" t="s">
        <v>250</v>
      </c>
      <c r="C110" s="70"/>
      <c r="D110" s="135"/>
      <c r="E110" s="140">
        <f>350+85</f>
        <v>435</v>
      </c>
      <c r="F110" s="70"/>
      <c r="G110" s="70"/>
      <c r="H110" s="134"/>
      <c r="I110" s="65">
        <f t="shared" si="30"/>
        <v>435</v>
      </c>
      <c r="J110" s="36"/>
      <c r="K110" s="36"/>
      <c r="L110" s="187">
        <v>70</v>
      </c>
      <c r="M110" s="36"/>
      <c r="N110" s="36"/>
      <c r="O110" s="38"/>
      <c r="P110" s="39">
        <f t="shared" si="22"/>
        <v>70</v>
      </c>
      <c r="Q110" s="44">
        <f t="shared" si="23"/>
        <v>365</v>
      </c>
    </row>
    <row r="111" spans="1:17" ht="147" customHeight="1">
      <c r="A111" s="22" t="s">
        <v>109</v>
      </c>
      <c r="B111" s="149" t="s">
        <v>301</v>
      </c>
      <c r="C111" s="70"/>
      <c r="D111" s="135"/>
      <c r="E111" s="160">
        <f>335+220.20711</f>
        <v>555.2071100000001</v>
      </c>
      <c r="F111" s="70"/>
      <c r="G111" s="70"/>
      <c r="H111" s="134"/>
      <c r="I111" s="65">
        <f t="shared" si="30"/>
        <v>555.2071100000001</v>
      </c>
      <c r="J111" s="36"/>
      <c r="K111" s="36"/>
      <c r="L111" s="187">
        <v>63</v>
      </c>
      <c r="M111" s="36"/>
      <c r="N111" s="36"/>
      <c r="O111" s="38"/>
      <c r="P111" s="39">
        <f t="shared" si="22"/>
        <v>63</v>
      </c>
      <c r="Q111" s="44">
        <f t="shared" si="23"/>
        <v>492.20711000000006</v>
      </c>
    </row>
    <row r="112" spans="1:17" ht="91.5" customHeight="1">
      <c r="A112" s="22" t="s">
        <v>272</v>
      </c>
      <c r="B112" s="151" t="s">
        <v>274</v>
      </c>
      <c r="C112" s="90">
        <v>486.1</v>
      </c>
      <c r="D112" s="135">
        <v>153.6</v>
      </c>
      <c r="E112" s="140">
        <v>40.9</v>
      </c>
      <c r="F112" s="70"/>
      <c r="G112" s="70"/>
      <c r="H112" s="134"/>
      <c r="I112" s="65">
        <f t="shared" si="30"/>
        <v>680.6</v>
      </c>
      <c r="J112" s="36"/>
      <c r="K112" s="36"/>
      <c r="L112" s="187"/>
      <c r="M112" s="36"/>
      <c r="N112" s="36"/>
      <c r="O112" s="38"/>
      <c r="P112" s="39">
        <f t="shared" si="22"/>
        <v>0</v>
      </c>
      <c r="Q112" s="44">
        <f t="shared" si="23"/>
        <v>680.6</v>
      </c>
    </row>
    <row r="113" spans="1:17" ht="98.25" customHeight="1" thickBot="1">
      <c r="A113" s="22" t="s">
        <v>273</v>
      </c>
      <c r="B113" s="151" t="s">
        <v>275</v>
      </c>
      <c r="C113" s="90"/>
      <c r="D113" s="135"/>
      <c r="E113" s="160">
        <v>499.89853</v>
      </c>
      <c r="F113" s="70"/>
      <c r="G113" s="70"/>
      <c r="H113" s="134"/>
      <c r="I113" s="65">
        <f>SUM(C113:H113)</f>
        <v>499.89853</v>
      </c>
      <c r="J113" s="36"/>
      <c r="K113" s="36"/>
      <c r="L113" s="187"/>
      <c r="M113" s="36"/>
      <c r="N113" s="36"/>
      <c r="O113" s="38"/>
      <c r="P113" s="39">
        <f>SUM(J113:O113)</f>
        <v>0</v>
      </c>
      <c r="Q113" s="44">
        <f>I113-P113</f>
        <v>499.89853</v>
      </c>
    </row>
    <row r="114" spans="1:17" ht="22.5" customHeight="1" thickBot="1">
      <c r="A114" s="16" t="s">
        <v>110</v>
      </c>
      <c r="B114" s="17" t="s">
        <v>111</v>
      </c>
      <c r="C114" s="126">
        <f aca="true" t="shared" si="31" ref="C114:O114">C115+C116+C117</f>
        <v>0</v>
      </c>
      <c r="D114" s="126">
        <f t="shared" si="31"/>
        <v>0</v>
      </c>
      <c r="E114" s="126">
        <f t="shared" si="31"/>
        <v>6758.33969</v>
      </c>
      <c r="F114" s="126">
        <f t="shared" si="31"/>
        <v>0</v>
      </c>
      <c r="G114" s="126">
        <f t="shared" si="31"/>
        <v>0</v>
      </c>
      <c r="H114" s="126">
        <f t="shared" si="31"/>
        <v>0</v>
      </c>
      <c r="I114" s="127">
        <f t="shared" si="31"/>
        <v>6758.33969</v>
      </c>
      <c r="J114" s="33">
        <f t="shared" si="31"/>
        <v>0</v>
      </c>
      <c r="K114" s="33">
        <f t="shared" si="31"/>
        <v>0</v>
      </c>
      <c r="L114" s="33">
        <f t="shared" si="31"/>
        <v>732.89344</v>
      </c>
      <c r="M114" s="33">
        <f t="shared" si="31"/>
        <v>0</v>
      </c>
      <c r="N114" s="33">
        <f t="shared" si="31"/>
        <v>0</v>
      </c>
      <c r="O114" s="33">
        <f t="shared" si="31"/>
        <v>0</v>
      </c>
      <c r="P114" s="34">
        <f t="shared" si="22"/>
        <v>732.89344</v>
      </c>
      <c r="Q114" s="35">
        <f t="shared" si="23"/>
        <v>6025.44625</v>
      </c>
    </row>
    <row r="115" spans="1:17" ht="56.25" customHeight="1">
      <c r="A115" s="23" t="s">
        <v>112</v>
      </c>
      <c r="B115" s="153" t="s">
        <v>253</v>
      </c>
      <c r="C115" s="88"/>
      <c r="D115" s="141"/>
      <c r="E115" s="142">
        <v>899</v>
      </c>
      <c r="F115" s="88"/>
      <c r="G115" s="88"/>
      <c r="H115" s="143"/>
      <c r="I115" s="113">
        <f>SUM(C115:H115)</f>
        <v>899</v>
      </c>
      <c r="J115" s="36"/>
      <c r="K115" s="36"/>
      <c r="L115" s="187"/>
      <c r="M115" s="36"/>
      <c r="N115" s="36"/>
      <c r="O115" s="38"/>
      <c r="P115" s="39">
        <f t="shared" si="22"/>
        <v>0</v>
      </c>
      <c r="Q115" s="42">
        <f t="shared" si="23"/>
        <v>899</v>
      </c>
    </row>
    <row r="116" spans="1:17" ht="57.75" customHeight="1">
      <c r="A116" s="24" t="s">
        <v>113</v>
      </c>
      <c r="B116" s="164" t="s">
        <v>254</v>
      </c>
      <c r="C116" s="72"/>
      <c r="D116" s="76"/>
      <c r="E116" s="144">
        <v>3113</v>
      </c>
      <c r="F116" s="72"/>
      <c r="G116" s="72"/>
      <c r="H116" s="145"/>
      <c r="I116" s="39">
        <f>SUM(C116:H116)</f>
        <v>3113</v>
      </c>
      <c r="J116" s="36"/>
      <c r="K116" s="36"/>
      <c r="L116" s="187"/>
      <c r="M116" s="36"/>
      <c r="N116" s="36"/>
      <c r="O116" s="38"/>
      <c r="P116" s="39">
        <f t="shared" si="22"/>
        <v>0</v>
      </c>
      <c r="Q116" s="41">
        <f t="shared" si="23"/>
        <v>3113</v>
      </c>
    </row>
    <row r="117" spans="1:17" ht="69" customHeight="1" thickBot="1">
      <c r="A117" s="22" t="s">
        <v>114</v>
      </c>
      <c r="B117" s="149" t="s">
        <v>255</v>
      </c>
      <c r="C117" s="70"/>
      <c r="D117" s="135"/>
      <c r="E117" s="140">
        <v>2746.33969</v>
      </c>
      <c r="F117" s="70"/>
      <c r="G117" s="70"/>
      <c r="H117" s="134"/>
      <c r="I117" s="65">
        <f>SUM(C117:H117)</f>
        <v>2746.33969</v>
      </c>
      <c r="J117" s="36"/>
      <c r="K117" s="36"/>
      <c r="L117" s="187">
        <v>732.89344</v>
      </c>
      <c r="M117" s="36"/>
      <c r="N117" s="36"/>
      <c r="O117" s="38"/>
      <c r="P117" s="39">
        <f t="shared" si="22"/>
        <v>732.89344</v>
      </c>
      <c r="Q117" s="44">
        <f t="shared" si="23"/>
        <v>2013.4462499999997</v>
      </c>
    </row>
    <row r="118" spans="1:17" ht="25.5" customHeight="1" thickBot="1">
      <c r="A118" s="16" t="s">
        <v>115</v>
      </c>
      <c r="B118" s="17" t="s">
        <v>116</v>
      </c>
      <c r="C118" s="146">
        <f aca="true" t="shared" si="32" ref="C118:O118">C119+C120</f>
        <v>0</v>
      </c>
      <c r="D118" s="146">
        <f t="shared" si="32"/>
        <v>0</v>
      </c>
      <c r="E118" s="146">
        <f t="shared" si="32"/>
        <v>4409.43704</v>
      </c>
      <c r="F118" s="146">
        <f t="shared" si="32"/>
        <v>0</v>
      </c>
      <c r="G118" s="146">
        <f t="shared" si="32"/>
        <v>0</v>
      </c>
      <c r="H118" s="146">
        <f t="shared" si="32"/>
        <v>0</v>
      </c>
      <c r="I118" s="127">
        <f t="shared" si="32"/>
        <v>4409.43704</v>
      </c>
      <c r="J118" s="33">
        <f t="shared" si="32"/>
        <v>0</v>
      </c>
      <c r="K118" s="33">
        <f t="shared" si="32"/>
        <v>0</v>
      </c>
      <c r="L118" s="33">
        <f t="shared" si="32"/>
        <v>0</v>
      </c>
      <c r="M118" s="33">
        <f t="shared" si="32"/>
        <v>0</v>
      </c>
      <c r="N118" s="33">
        <f t="shared" si="32"/>
        <v>0</v>
      </c>
      <c r="O118" s="33">
        <f t="shared" si="32"/>
        <v>0</v>
      </c>
      <c r="P118" s="34">
        <f t="shared" si="22"/>
        <v>0</v>
      </c>
      <c r="Q118" s="35">
        <f t="shared" si="23"/>
        <v>4409.43704</v>
      </c>
    </row>
    <row r="119" spans="1:17" ht="108" customHeight="1">
      <c r="A119" s="20" t="s">
        <v>117</v>
      </c>
      <c r="B119" s="148" t="s">
        <v>302</v>
      </c>
      <c r="C119" s="69"/>
      <c r="D119" s="138"/>
      <c r="E119" s="62">
        <v>678</v>
      </c>
      <c r="F119" s="69"/>
      <c r="G119" s="69"/>
      <c r="H119" s="139"/>
      <c r="I119" s="63">
        <f>SUM(C119:H119)</f>
        <v>678</v>
      </c>
      <c r="J119" s="36"/>
      <c r="K119" s="36"/>
      <c r="L119" s="187"/>
      <c r="M119" s="36"/>
      <c r="N119" s="36"/>
      <c r="O119" s="38"/>
      <c r="P119" s="39">
        <f t="shared" si="22"/>
        <v>0</v>
      </c>
      <c r="Q119" s="42">
        <f t="shared" si="23"/>
        <v>678</v>
      </c>
    </row>
    <row r="120" spans="1:17" ht="57" customHeight="1" thickBot="1">
      <c r="A120" s="22" t="s">
        <v>118</v>
      </c>
      <c r="B120" s="151" t="s">
        <v>246</v>
      </c>
      <c r="C120" s="70"/>
      <c r="D120" s="135"/>
      <c r="E120" s="140">
        <v>3731.43704</v>
      </c>
      <c r="F120" s="70"/>
      <c r="G120" s="70"/>
      <c r="H120" s="134"/>
      <c r="I120" s="65">
        <f>SUM(C120:H120)</f>
        <v>3731.43704</v>
      </c>
      <c r="J120" s="36"/>
      <c r="K120" s="36"/>
      <c r="L120" s="187"/>
      <c r="M120" s="36"/>
      <c r="N120" s="36"/>
      <c r="O120" s="38"/>
      <c r="P120" s="39">
        <f t="shared" si="22"/>
        <v>0</v>
      </c>
      <c r="Q120" s="41">
        <f t="shared" si="23"/>
        <v>3731.43704</v>
      </c>
    </row>
    <row r="121" spans="1:17" ht="26.25" customHeight="1" thickBot="1">
      <c r="A121" s="16" t="s">
        <v>119</v>
      </c>
      <c r="B121" s="17" t="s">
        <v>120</v>
      </c>
      <c r="C121" s="146">
        <f aca="true" t="shared" si="33" ref="C121:P121">C122+C123+C124+C125+C126+C127+C128+C129+C130+C131</f>
        <v>0</v>
      </c>
      <c r="D121" s="146">
        <f t="shared" si="33"/>
        <v>0</v>
      </c>
      <c r="E121" s="146">
        <f t="shared" si="33"/>
        <v>4911.88673</v>
      </c>
      <c r="F121" s="146">
        <f t="shared" si="33"/>
        <v>0</v>
      </c>
      <c r="G121" s="146">
        <f t="shared" si="33"/>
        <v>0</v>
      </c>
      <c r="H121" s="146">
        <f t="shared" si="33"/>
        <v>0</v>
      </c>
      <c r="I121" s="127">
        <f t="shared" si="33"/>
        <v>4911.88673</v>
      </c>
      <c r="J121" s="146">
        <f t="shared" si="33"/>
        <v>0</v>
      </c>
      <c r="K121" s="146">
        <f t="shared" si="33"/>
        <v>0</v>
      </c>
      <c r="L121" s="146">
        <f t="shared" si="33"/>
        <v>4436.89683</v>
      </c>
      <c r="M121" s="146">
        <f t="shared" si="33"/>
        <v>0</v>
      </c>
      <c r="N121" s="146">
        <f t="shared" si="33"/>
        <v>0</v>
      </c>
      <c r="O121" s="146">
        <f t="shared" si="33"/>
        <v>0</v>
      </c>
      <c r="P121" s="127">
        <f t="shared" si="33"/>
        <v>4436.89683</v>
      </c>
      <c r="Q121" s="35">
        <f t="shared" si="23"/>
        <v>474.9899000000005</v>
      </c>
    </row>
    <row r="122" spans="1:17" ht="66.75" customHeight="1">
      <c r="A122" s="20" t="s">
        <v>121</v>
      </c>
      <c r="B122" s="148" t="s">
        <v>303</v>
      </c>
      <c r="C122" s="182"/>
      <c r="D122" s="183"/>
      <c r="E122" s="184">
        <f>863.14268+84.30674+88.32181</f>
        <v>1035.77123</v>
      </c>
      <c r="F122" s="69"/>
      <c r="G122" s="69"/>
      <c r="H122" s="139"/>
      <c r="I122" s="63">
        <f aca="true" t="shared" si="34" ref="I122:I130">SUM(C122:H122)</f>
        <v>1035.77123</v>
      </c>
      <c r="J122" s="36"/>
      <c r="K122" s="36"/>
      <c r="L122" s="194">
        <f>505.84042+529.93085</f>
        <v>1035.77127</v>
      </c>
      <c r="M122" s="36"/>
      <c r="N122" s="36"/>
      <c r="O122" s="38"/>
      <c r="P122" s="39">
        <f aca="true" t="shared" si="35" ref="P122:P150">SUM(J122:O122)</f>
        <v>1035.77127</v>
      </c>
      <c r="Q122" s="42">
        <f t="shared" si="23"/>
        <v>-3.999999989900971E-05</v>
      </c>
    </row>
    <row r="123" spans="1:17" ht="63.75">
      <c r="A123" s="22" t="s">
        <v>122</v>
      </c>
      <c r="B123" s="149" t="s">
        <v>304</v>
      </c>
      <c r="C123" s="161"/>
      <c r="D123" s="162"/>
      <c r="E123" s="160">
        <f>499.83099+223.38907+69.04437</f>
        <v>792.26443</v>
      </c>
      <c r="F123" s="70"/>
      <c r="G123" s="70"/>
      <c r="H123" s="134"/>
      <c r="I123" s="65">
        <f t="shared" si="34"/>
        <v>792.26443</v>
      </c>
      <c r="J123" s="36"/>
      <c r="K123" s="36"/>
      <c r="L123" s="194">
        <f>192.53855+599.72588</f>
        <v>792.26443</v>
      </c>
      <c r="M123" s="36"/>
      <c r="N123" s="36"/>
      <c r="O123" s="38"/>
      <c r="P123" s="39">
        <f t="shared" si="35"/>
        <v>792.26443</v>
      </c>
      <c r="Q123" s="41">
        <f t="shared" si="23"/>
        <v>0</v>
      </c>
    </row>
    <row r="124" spans="1:17" ht="66" customHeight="1">
      <c r="A124" s="22" t="s">
        <v>123</v>
      </c>
      <c r="B124" s="149" t="s">
        <v>305</v>
      </c>
      <c r="C124" s="161"/>
      <c r="D124" s="162"/>
      <c r="E124" s="160">
        <f>312.63818+62.52764</f>
        <v>375.16582</v>
      </c>
      <c r="F124" s="70"/>
      <c r="G124" s="70"/>
      <c r="H124" s="134"/>
      <c r="I124" s="65">
        <f t="shared" si="34"/>
        <v>375.16582</v>
      </c>
      <c r="J124" s="36"/>
      <c r="K124" s="36"/>
      <c r="L124" s="194">
        <v>375.16582</v>
      </c>
      <c r="M124" s="36"/>
      <c r="N124" s="36"/>
      <c r="O124" s="38"/>
      <c r="P124" s="39">
        <f t="shared" si="35"/>
        <v>375.16582</v>
      </c>
      <c r="Q124" s="44">
        <f t="shared" si="23"/>
        <v>0</v>
      </c>
    </row>
    <row r="125" spans="1:17" ht="51">
      <c r="A125" s="22" t="s">
        <v>209</v>
      </c>
      <c r="B125" s="149" t="s">
        <v>213</v>
      </c>
      <c r="C125" s="70"/>
      <c r="D125" s="135"/>
      <c r="E125" s="160">
        <f>463.57752+142.4</f>
        <v>605.97752</v>
      </c>
      <c r="F125" s="70"/>
      <c r="G125" s="70"/>
      <c r="H125" s="134"/>
      <c r="I125" s="65">
        <f t="shared" si="34"/>
        <v>605.97752</v>
      </c>
      <c r="J125" s="62"/>
      <c r="K125" s="62"/>
      <c r="L125" s="210">
        <v>463.57752</v>
      </c>
      <c r="M125" s="62"/>
      <c r="N125" s="62"/>
      <c r="O125" s="64"/>
      <c r="P125" s="65">
        <f t="shared" si="35"/>
        <v>463.57752</v>
      </c>
      <c r="Q125" s="44">
        <f t="shared" si="23"/>
        <v>142.40000000000003</v>
      </c>
    </row>
    <row r="126" spans="1:17" ht="51">
      <c r="A126" s="22" t="s">
        <v>210</v>
      </c>
      <c r="B126" s="149" t="s">
        <v>214</v>
      </c>
      <c r="C126" s="70"/>
      <c r="D126" s="135"/>
      <c r="E126" s="160">
        <v>176.20679</v>
      </c>
      <c r="F126" s="70"/>
      <c r="G126" s="70"/>
      <c r="H126" s="147"/>
      <c r="I126" s="65">
        <f t="shared" si="34"/>
        <v>176.20679</v>
      </c>
      <c r="J126" s="90"/>
      <c r="K126" s="90"/>
      <c r="L126" s="211">
        <v>176.20679</v>
      </c>
      <c r="M126" s="90"/>
      <c r="N126" s="90"/>
      <c r="O126" s="64"/>
      <c r="P126" s="65">
        <f t="shared" si="35"/>
        <v>176.20679</v>
      </c>
      <c r="Q126" s="44">
        <f t="shared" si="23"/>
        <v>0</v>
      </c>
    </row>
    <row r="127" spans="1:17" ht="63.75">
      <c r="A127" s="22" t="s">
        <v>211</v>
      </c>
      <c r="B127" s="149" t="s">
        <v>215</v>
      </c>
      <c r="C127" s="70"/>
      <c r="D127" s="135"/>
      <c r="E127" s="160">
        <v>57.53388</v>
      </c>
      <c r="F127" s="70"/>
      <c r="G127" s="70"/>
      <c r="H127" s="134"/>
      <c r="I127" s="65">
        <f t="shared" si="34"/>
        <v>57.53388</v>
      </c>
      <c r="J127" s="90"/>
      <c r="K127" s="90"/>
      <c r="L127" s="211">
        <v>57.53388</v>
      </c>
      <c r="M127" s="90"/>
      <c r="N127" s="90"/>
      <c r="O127" s="64"/>
      <c r="P127" s="65">
        <f t="shared" si="35"/>
        <v>57.53388</v>
      </c>
      <c r="Q127" s="44">
        <f t="shared" si="23"/>
        <v>0</v>
      </c>
    </row>
    <row r="128" spans="1:17" ht="51">
      <c r="A128" s="22" t="s">
        <v>212</v>
      </c>
      <c r="B128" s="149" t="s">
        <v>216</v>
      </c>
      <c r="C128" s="70"/>
      <c r="D128" s="135"/>
      <c r="E128" s="160">
        <v>34.8137</v>
      </c>
      <c r="F128" s="70"/>
      <c r="G128" s="70"/>
      <c r="H128" s="134"/>
      <c r="I128" s="65">
        <f t="shared" si="34"/>
        <v>34.8137</v>
      </c>
      <c r="J128" s="90"/>
      <c r="K128" s="90"/>
      <c r="L128" s="212"/>
      <c r="M128" s="90"/>
      <c r="N128" s="90"/>
      <c r="O128" s="64"/>
      <c r="P128" s="65">
        <f t="shared" si="35"/>
        <v>0</v>
      </c>
      <c r="Q128" s="44">
        <f t="shared" si="23"/>
        <v>34.8137</v>
      </c>
    </row>
    <row r="129" spans="1:17" ht="66.75" customHeight="1">
      <c r="A129" s="22" t="s">
        <v>217</v>
      </c>
      <c r="B129" s="149" t="s">
        <v>219</v>
      </c>
      <c r="C129" s="70"/>
      <c r="D129" s="135"/>
      <c r="E129" s="160">
        <v>93.81752</v>
      </c>
      <c r="F129" s="70"/>
      <c r="G129" s="70"/>
      <c r="H129" s="134"/>
      <c r="I129" s="65">
        <f t="shared" si="34"/>
        <v>93.81752</v>
      </c>
      <c r="J129" s="90"/>
      <c r="K129" s="90"/>
      <c r="L129" s="212"/>
      <c r="M129" s="90"/>
      <c r="N129" s="90"/>
      <c r="O129" s="64"/>
      <c r="P129" s="65">
        <f t="shared" si="35"/>
        <v>0</v>
      </c>
      <c r="Q129" s="44">
        <f t="shared" si="23"/>
        <v>93.81752</v>
      </c>
    </row>
    <row r="130" spans="1:17" ht="54" customHeight="1">
      <c r="A130" s="22" t="s">
        <v>218</v>
      </c>
      <c r="B130" s="149" t="s">
        <v>220</v>
      </c>
      <c r="C130" s="70"/>
      <c r="D130" s="135"/>
      <c r="E130" s="160">
        <v>165.09777</v>
      </c>
      <c r="F130" s="70"/>
      <c r="G130" s="70"/>
      <c r="H130" s="134"/>
      <c r="I130" s="65">
        <f t="shared" si="34"/>
        <v>165.09777</v>
      </c>
      <c r="J130" s="90"/>
      <c r="K130" s="90"/>
      <c r="L130" s="211">
        <v>165.09777</v>
      </c>
      <c r="M130" s="90"/>
      <c r="N130" s="90"/>
      <c r="O130" s="64"/>
      <c r="P130" s="65">
        <f t="shared" si="35"/>
        <v>165.09777</v>
      </c>
      <c r="Q130" s="44">
        <f t="shared" si="23"/>
        <v>0</v>
      </c>
    </row>
    <row r="131" spans="1:17" ht="60" customHeight="1" thickBot="1">
      <c r="A131" s="213" t="s">
        <v>306</v>
      </c>
      <c r="B131" s="149" t="s">
        <v>307</v>
      </c>
      <c r="C131" s="70"/>
      <c r="D131" s="135"/>
      <c r="E131" s="160">
        <v>1575.23807</v>
      </c>
      <c r="F131" s="70"/>
      <c r="G131" s="70"/>
      <c r="H131" s="134"/>
      <c r="I131" s="65">
        <f>SUM(C131:H131)</f>
        <v>1575.23807</v>
      </c>
      <c r="J131" s="90"/>
      <c r="K131" s="90"/>
      <c r="L131" s="211">
        <f>593.46424+590.61868+187.19643</f>
        <v>1371.27935</v>
      </c>
      <c r="M131" s="90"/>
      <c r="N131" s="90"/>
      <c r="O131" s="64"/>
      <c r="P131" s="65">
        <f>SUM(J131:O131)</f>
        <v>1371.27935</v>
      </c>
      <c r="Q131" s="44">
        <f>I131-P131</f>
        <v>203.95872000000008</v>
      </c>
    </row>
    <row r="132" spans="1:17" ht="31.5" customHeight="1" thickBot="1">
      <c r="A132" s="16" t="s">
        <v>124</v>
      </c>
      <c r="B132" s="11" t="s">
        <v>125</v>
      </c>
      <c r="C132" s="137">
        <f aca="true" t="shared" si="36" ref="C132:O132">C133+C134+C135</f>
        <v>8500</v>
      </c>
      <c r="D132" s="137">
        <f t="shared" si="36"/>
        <v>31080.800000000003</v>
      </c>
      <c r="E132" s="137">
        <f t="shared" si="36"/>
        <v>7426.69</v>
      </c>
      <c r="F132" s="146">
        <f t="shared" si="36"/>
        <v>0</v>
      </c>
      <c r="G132" s="146">
        <f t="shared" si="36"/>
        <v>0</v>
      </c>
      <c r="H132" s="146">
        <f t="shared" si="36"/>
        <v>0</v>
      </c>
      <c r="I132" s="127">
        <f>I133+I134+I135</f>
        <v>47007.490000000005</v>
      </c>
      <c r="J132" s="33">
        <f t="shared" si="36"/>
        <v>0</v>
      </c>
      <c r="K132" s="33">
        <f t="shared" si="36"/>
        <v>11535.51972</v>
      </c>
      <c r="L132" s="33">
        <f t="shared" si="36"/>
        <v>5636.308279999999</v>
      </c>
      <c r="M132" s="33">
        <f t="shared" si="36"/>
        <v>0</v>
      </c>
      <c r="N132" s="33">
        <f t="shared" si="36"/>
        <v>0</v>
      </c>
      <c r="O132" s="33">
        <f t="shared" si="36"/>
        <v>0</v>
      </c>
      <c r="P132" s="34">
        <f t="shared" si="35"/>
        <v>17171.828</v>
      </c>
      <c r="Q132" s="35">
        <f t="shared" si="23"/>
        <v>29835.662000000004</v>
      </c>
    </row>
    <row r="133" spans="1:17" ht="81.75" customHeight="1">
      <c r="A133" s="20" t="s">
        <v>126</v>
      </c>
      <c r="B133" s="21" t="s">
        <v>226</v>
      </c>
      <c r="C133" s="69"/>
      <c r="D133" s="62">
        <v>15039.4</v>
      </c>
      <c r="E133" s="62">
        <v>960</v>
      </c>
      <c r="F133" s="69"/>
      <c r="G133" s="69"/>
      <c r="H133" s="139"/>
      <c r="I133" s="63">
        <f aca="true" t="shared" si="37" ref="I133:I151">SUM(C133:H133)</f>
        <v>15999.4</v>
      </c>
      <c r="J133" s="36"/>
      <c r="K133" s="194">
        <v>11535.51972</v>
      </c>
      <c r="L133" s="194">
        <v>736.11828</v>
      </c>
      <c r="M133" s="36"/>
      <c r="N133" s="36"/>
      <c r="O133" s="38"/>
      <c r="P133" s="39">
        <f t="shared" si="35"/>
        <v>12271.638</v>
      </c>
      <c r="Q133" s="42">
        <f t="shared" si="23"/>
        <v>3727.761999999999</v>
      </c>
    </row>
    <row r="134" spans="1:17" ht="56.25" customHeight="1">
      <c r="A134" s="22" t="s">
        <v>127</v>
      </c>
      <c r="B134" s="149" t="s">
        <v>252</v>
      </c>
      <c r="C134" s="70"/>
      <c r="D134" s="135"/>
      <c r="E134" s="140">
        <v>4900.19</v>
      </c>
      <c r="F134" s="70"/>
      <c r="G134" s="70"/>
      <c r="H134" s="134"/>
      <c r="I134" s="65">
        <f t="shared" si="37"/>
        <v>4900.19</v>
      </c>
      <c r="J134" s="36"/>
      <c r="K134" s="114"/>
      <c r="L134" s="194">
        <v>4900.19</v>
      </c>
      <c r="M134" s="36"/>
      <c r="N134" s="36"/>
      <c r="O134" s="38"/>
      <c r="P134" s="39">
        <f t="shared" si="35"/>
        <v>4900.19</v>
      </c>
      <c r="Q134" s="41">
        <f t="shared" si="23"/>
        <v>0</v>
      </c>
    </row>
    <row r="135" spans="1:17" ht="82.5" customHeight="1" thickBot="1">
      <c r="A135" s="22" t="s">
        <v>128</v>
      </c>
      <c r="B135" s="15" t="s">
        <v>227</v>
      </c>
      <c r="C135" s="100">
        <v>8500</v>
      </c>
      <c r="D135" s="100">
        <f>19670.7-3629.3</f>
        <v>16041.400000000001</v>
      </c>
      <c r="E135" s="100">
        <f>1798.1-231.6</f>
        <v>1566.5</v>
      </c>
      <c r="F135" s="70"/>
      <c r="G135" s="70"/>
      <c r="H135" s="134"/>
      <c r="I135" s="65">
        <f t="shared" si="37"/>
        <v>26107.9</v>
      </c>
      <c r="J135" s="114"/>
      <c r="K135" s="114"/>
      <c r="L135" s="187"/>
      <c r="M135" s="36"/>
      <c r="N135" s="36"/>
      <c r="O135" s="38"/>
      <c r="P135" s="39">
        <f t="shared" si="35"/>
        <v>0</v>
      </c>
      <c r="Q135" s="44">
        <f t="shared" si="23"/>
        <v>26107.9</v>
      </c>
    </row>
    <row r="136" spans="1:17" ht="33" customHeight="1" thickBot="1">
      <c r="A136" s="16" t="s">
        <v>129</v>
      </c>
      <c r="B136" s="11" t="s">
        <v>130</v>
      </c>
      <c r="C136" s="146">
        <f aca="true" t="shared" si="38" ref="C136:I136">C137+C143+C150</f>
        <v>0</v>
      </c>
      <c r="D136" s="146">
        <f t="shared" si="38"/>
        <v>0</v>
      </c>
      <c r="E136" s="137">
        <f>E137+E143+E150</f>
        <v>16295.187999999998</v>
      </c>
      <c r="F136" s="146">
        <f t="shared" si="38"/>
        <v>0</v>
      </c>
      <c r="G136" s="146">
        <f t="shared" si="38"/>
        <v>0</v>
      </c>
      <c r="H136" s="146">
        <f t="shared" si="38"/>
        <v>0</v>
      </c>
      <c r="I136" s="127">
        <f t="shared" si="38"/>
        <v>16295.187999999998</v>
      </c>
      <c r="J136" s="33">
        <f aca="true" t="shared" si="39" ref="J136:O136">J137+J150+J143</f>
        <v>0</v>
      </c>
      <c r="K136" s="33">
        <f t="shared" si="39"/>
        <v>0</v>
      </c>
      <c r="L136" s="33">
        <f t="shared" si="39"/>
        <v>9451.237</v>
      </c>
      <c r="M136" s="33">
        <f t="shared" si="39"/>
        <v>0</v>
      </c>
      <c r="N136" s="33">
        <f t="shared" si="39"/>
        <v>0</v>
      </c>
      <c r="O136" s="33">
        <f t="shared" si="39"/>
        <v>0</v>
      </c>
      <c r="P136" s="34">
        <f t="shared" si="35"/>
        <v>9451.237</v>
      </c>
      <c r="Q136" s="35">
        <f t="shared" si="23"/>
        <v>6843.950999999999</v>
      </c>
    </row>
    <row r="137" spans="1:17" ht="38.25">
      <c r="A137" s="214" t="s">
        <v>131</v>
      </c>
      <c r="B137" s="163" t="s">
        <v>256</v>
      </c>
      <c r="C137" s="215"/>
      <c r="D137" s="109"/>
      <c r="E137" s="216">
        <f>E138+E139+E140+E141+E142</f>
        <v>6167.512</v>
      </c>
      <c r="F137" s="215"/>
      <c r="G137" s="215"/>
      <c r="H137" s="217"/>
      <c r="I137" s="93">
        <f t="shared" si="37"/>
        <v>6167.512</v>
      </c>
      <c r="J137" s="109"/>
      <c r="K137" s="109"/>
      <c r="L137" s="218">
        <f>L138+L139+L140+L141+L142</f>
        <v>938.499</v>
      </c>
      <c r="M137" s="109"/>
      <c r="N137" s="109"/>
      <c r="O137" s="219"/>
      <c r="P137" s="93">
        <f t="shared" si="35"/>
        <v>938.499</v>
      </c>
      <c r="Q137" s="40">
        <f t="shared" si="23"/>
        <v>5229.013</v>
      </c>
    </row>
    <row r="138" spans="1:17" ht="38.25">
      <c r="A138" s="24" t="s">
        <v>308</v>
      </c>
      <c r="B138" s="154" t="s">
        <v>0</v>
      </c>
      <c r="C138" s="72"/>
      <c r="D138" s="74"/>
      <c r="E138" s="192">
        <f>468-4.152</f>
        <v>463.848</v>
      </c>
      <c r="F138" s="72"/>
      <c r="G138" s="72"/>
      <c r="H138" s="145"/>
      <c r="I138" s="39">
        <f>SUM(C138:H138)</f>
        <v>463.848</v>
      </c>
      <c r="J138" s="74"/>
      <c r="K138" s="74"/>
      <c r="L138" s="193">
        <v>463.848</v>
      </c>
      <c r="M138" s="74"/>
      <c r="N138" s="74"/>
      <c r="O138" s="38"/>
      <c r="P138" s="39">
        <f>SUM(J138:O138)</f>
        <v>463.848</v>
      </c>
      <c r="Q138" s="41">
        <f>I138-P138</f>
        <v>0</v>
      </c>
    </row>
    <row r="139" spans="1:17" ht="38.25">
      <c r="A139" s="24" t="s">
        <v>1</v>
      </c>
      <c r="B139" s="154" t="s">
        <v>2</v>
      </c>
      <c r="C139" s="72"/>
      <c r="D139" s="74"/>
      <c r="E139" s="192">
        <f>475-0.349</f>
        <v>474.651</v>
      </c>
      <c r="F139" s="72"/>
      <c r="G139" s="72"/>
      <c r="H139" s="145"/>
      <c r="I139" s="39">
        <f>SUM(C139:H139)</f>
        <v>474.651</v>
      </c>
      <c r="J139" s="74"/>
      <c r="K139" s="74"/>
      <c r="L139" s="193">
        <v>474.651</v>
      </c>
      <c r="M139" s="74"/>
      <c r="N139" s="74"/>
      <c r="O139" s="38"/>
      <c r="P139" s="39">
        <f>SUM(J139:O139)</f>
        <v>474.651</v>
      </c>
      <c r="Q139" s="41">
        <f>I139-P139</f>
        <v>0</v>
      </c>
    </row>
    <row r="140" spans="1:17" ht="38.25">
      <c r="A140" s="24" t="s">
        <v>3</v>
      </c>
      <c r="B140" s="154" t="s">
        <v>4</v>
      </c>
      <c r="C140" s="72"/>
      <c r="D140" s="74"/>
      <c r="E140" s="192">
        <f>1094-2.516</f>
        <v>1091.484</v>
      </c>
      <c r="F140" s="72"/>
      <c r="G140" s="72"/>
      <c r="H140" s="145"/>
      <c r="I140" s="39">
        <f>SUM(C140:H140)</f>
        <v>1091.484</v>
      </c>
      <c r="J140" s="74"/>
      <c r="K140" s="74"/>
      <c r="L140" s="192"/>
      <c r="M140" s="74"/>
      <c r="N140" s="74"/>
      <c r="O140" s="38"/>
      <c r="P140" s="39">
        <f>SUM(J140:O140)</f>
        <v>0</v>
      </c>
      <c r="Q140" s="41">
        <f>I140-P140</f>
        <v>1091.484</v>
      </c>
    </row>
    <row r="141" spans="1:17" ht="38.25">
      <c r="A141" s="24" t="s">
        <v>5</v>
      </c>
      <c r="B141" s="154" t="s">
        <v>6</v>
      </c>
      <c r="C141" s="72"/>
      <c r="D141" s="74"/>
      <c r="E141" s="192">
        <f>2056-1006.077</f>
        <v>1049.923</v>
      </c>
      <c r="F141" s="72"/>
      <c r="G141" s="72"/>
      <c r="H141" s="145"/>
      <c r="I141" s="39">
        <f>SUM(C141:H141)</f>
        <v>1049.923</v>
      </c>
      <c r="J141" s="74"/>
      <c r="K141" s="74"/>
      <c r="L141" s="192"/>
      <c r="M141" s="74"/>
      <c r="N141" s="74"/>
      <c r="O141" s="38"/>
      <c r="P141" s="39">
        <f>SUM(J141:O141)</f>
        <v>0</v>
      </c>
      <c r="Q141" s="41">
        <f>I141-P141</f>
        <v>1049.923</v>
      </c>
    </row>
    <row r="142" spans="1:17" ht="38.25">
      <c r="A142" s="20" t="s">
        <v>7</v>
      </c>
      <c r="B142" s="148" t="s">
        <v>8</v>
      </c>
      <c r="C142" s="69"/>
      <c r="D142" s="62"/>
      <c r="E142" s="184">
        <f>3458-370.394</f>
        <v>3087.6059999999998</v>
      </c>
      <c r="F142" s="69"/>
      <c r="G142" s="69"/>
      <c r="H142" s="139"/>
      <c r="I142" s="63">
        <f>SUM(C142:H142)</f>
        <v>3087.6059999999998</v>
      </c>
      <c r="J142" s="36"/>
      <c r="K142" s="36"/>
      <c r="L142" s="114"/>
      <c r="M142" s="36"/>
      <c r="N142" s="36"/>
      <c r="O142" s="220"/>
      <c r="P142" s="113">
        <f>SUM(J142:O142)</f>
        <v>0</v>
      </c>
      <c r="Q142" s="221">
        <f>I142-P142</f>
        <v>3087.6059999999998</v>
      </c>
    </row>
    <row r="143" spans="1:17" ht="42.75" customHeight="1">
      <c r="A143" s="22" t="s">
        <v>132</v>
      </c>
      <c r="B143" s="149" t="s">
        <v>257</v>
      </c>
      <c r="C143" s="70"/>
      <c r="D143" s="135"/>
      <c r="E143" s="160">
        <f>E144+E145+E146+E147+E148+E149</f>
        <v>9572.659</v>
      </c>
      <c r="F143" s="222"/>
      <c r="G143" s="222"/>
      <c r="H143" s="223"/>
      <c r="I143" s="97">
        <f t="shared" si="37"/>
        <v>9572.659</v>
      </c>
      <c r="J143" s="83"/>
      <c r="K143" s="83"/>
      <c r="L143" s="194">
        <f>L144+L145+L146+L147+L148+L149</f>
        <v>7957.721</v>
      </c>
      <c r="M143" s="83"/>
      <c r="N143" s="83"/>
      <c r="O143" s="85"/>
      <c r="P143" s="86">
        <f t="shared" si="35"/>
        <v>7957.721</v>
      </c>
      <c r="Q143" s="87">
        <f t="shared" si="23"/>
        <v>1614.938</v>
      </c>
    </row>
    <row r="144" spans="1:17" ht="41.25" customHeight="1">
      <c r="A144" s="22" t="s">
        <v>9</v>
      </c>
      <c r="B144" s="149" t="s">
        <v>10</v>
      </c>
      <c r="C144" s="70"/>
      <c r="D144" s="135"/>
      <c r="E144" s="224">
        <v>483.78</v>
      </c>
      <c r="F144" s="222"/>
      <c r="G144" s="222"/>
      <c r="H144" s="223"/>
      <c r="I144" s="97">
        <f t="shared" si="37"/>
        <v>483.78</v>
      </c>
      <c r="J144" s="83"/>
      <c r="K144" s="83"/>
      <c r="L144" s="225">
        <v>483.78</v>
      </c>
      <c r="M144" s="83"/>
      <c r="N144" s="83"/>
      <c r="O144" s="85"/>
      <c r="P144" s="86">
        <f t="shared" si="35"/>
        <v>483.78</v>
      </c>
      <c r="Q144" s="87">
        <f t="shared" si="23"/>
        <v>0</v>
      </c>
    </row>
    <row r="145" spans="1:17" ht="43.5" customHeight="1">
      <c r="A145" s="22" t="s">
        <v>11</v>
      </c>
      <c r="B145" s="149" t="s">
        <v>12</v>
      </c>
      <c r="C145" s="70"/>
      <c r="D145" s="135"/>
      <c r="E145" s="224">
        <v>1290.245</v>
      </c>
      <c r="F145" s="222"/>
      <c r="G145" s="222"/>
      <c r="H145" s="223"/>
      <c r="I145" s="97">
        <f t="shared" si="37"/>
        <v>1290.245</v>
      </c>
      <c r="J145" s="83"/>
      <c r="K145" s="83"/>
      <c r="L145" s="225">
        <v>1290.245</v>
      </c>
      <c r="M145" s="83"/>
      <c r="N145" s="83"/>
      <c r="O145" s="85"/>
      <c r="P145" s="86">
        <f t="shared" si="35"/>
        <v>1290.245</v>
      </c>
      <c r="Q145" s="87">
        <f t="shared" si="23"/>
        <v>0</v>
      </c>
    </row>
    <row r="146" spans="1:17" ht="42" customHeight="1">
      <c r="A146" s="22" t="s">
        <v>13</v>
      </c>
      <c r="B146" s="149" t="s">
        <v>14</v>
      </c>
      <c r="C146" s="70"/>
      <c r="D146" s="135"/>
      <c r="E146" s="224">
        <v>1614.938</v>
      </c>
      <c r="F146" s="222"/>
      <c r="G146" s="222"/>
      <c r="H146" s="223"/>
      <c r="I146" s="97">
        <f t="shared" si="37"/>
        <v>1614.938</v>
      </c>
      <c r="J146" s="83"/>
      <c r="K146" s="83"/>
      <c r="L146" s="225"/>
      <c r="M146" s="83"/>
      <c r="N146" s="83"/>
      <c r="O146" s="85"/>
      <c r="P146" s="86">
        <f t="shared" si="35"/>
        <v>0</v>
      </c>
      <c r="Q146" s="87">
        <f t="shared" si="23"/>
        <v>1614.938</v>
      </c>
    </row>
    <row r="147" spans="1:17" ht="42" customHeight="1">
      <c r="A147" s="22" t="s">
        <v>15</v>
      </c>
      <c r="B147" s="149" t="s">
        <v>16</v>
      </c>
      <c r="C147" s="70"/>
      <c r="D147" s="135"/>
      <c r="E147" s="224">
        <v>1891.437</v>
      </c>
      <c r="F147" s="222"/>
      <c r="G147" s="222"/>
      <c r="H147" s="223"/>
      <c r="I147" s="97">
        <f t="shared" si="37"/>
        <v>1891.437</v>
      </c>
      <c r="J147" s="83"/>
      <c r="K147" s="83"/>
      <c r="L147" s="225">
        <v>1891.437</v>
      </c>
      <c r="M147" s="83"/>
      <c r="N147" s="83"/>
      <c r="O147" s="85"/>
      <c r="P147" s="86">
        <f t="shared" si="35"/>
        <v>1891.437</v>
      </c>
      <c r="Q147" s="87">
        <f t="shared" si="23"/>
        <v>0</v>
      </c>
    </row>
    <row r="148" spans="1:17" ht="44.25" customHeight="1">
      <c r="A148" s="22" t="s">
        <v>17</v>
      </c>
      <c r="B148" s="149" t="s">
        <v>18</v>
      </c>
      <c r="C148" s="70"/>
      <c r="D148" s="135"/>
      <c r="E148" s="224">
        <v>1986.272</v>
      </c>
      <c r="F148" s="222"/>
      <c r="G148" s="222"/>
      <c r="H148" s="223"/>
      <c r="I148" s="97">
        <f t="shared" si="37"/>
        <v>1986.272</v>
      </c>
      <c r="J148" s="83"/>
      <c r="K148" s="83"/>
      <c r="L148" s="225">
        <v>1986.272</v>
      </c>
      <c r="M148" s="83"/>
      <c r="N148" s="83"/>
      <c r="O148" s="85"/>
      <c r="P148" s="86">
        <f t="shared" si="35"/>
        <v>1986.272</v>
      </c>
      <c r="Q148" s="87">
        <f t="shared" si="23"/>
        <v>0</v>
      </c>
    </row>
    <row r="149" spans="1:17" ht="33.75" customHeight="1">
      <c r="A149" s="22" t="s">
        <v>19</v>
      </c>
      <c r="B149" s="149" t="s">
        <v>20</v>
      </c>
      <c r="C149" s="70"/>
      <c r="D149" s="135"/>
      <c r="E149" s="224">
        <f>2306.064-0.077</f>
        <v>2305.9869999999996</v>
      </c>
      <c r="F149" s="222"/>
      <c r="G149" s="222"/>
      <c r="H149" s="223"/>
      <c r="I149" s="97">
        <f t="shared" si="37"/>
        <v>2305.9869999999996</v>
      </c>
      <c r="J149" s="83"/>
      <c r="K149" s="83"/>
      <c r="L149" s="225">
        <v>2305.987</v>
      </c>
      <c r="M149" s="83"/>
      <c r="N149" s="83"/>
      <c r="O149" s="85"/>
      <c r="P149" s="86">
        <f t="shared" si="35"/>
        <v>2305.987</v>
      </c>
      <c r="Q149" s="87">
        <f t="shared" si="23"/>
        <v>0</v>
      </c>
    </row>
    <row r="150" spans="1:17" ht="45.75" customHeight="1" thickBot="1">
      <c r="A150" s="22" t="s">
        <v>133</v>
      </c>
      <c r="B150" s="149" t="s">
        <v>21</v>
      </c>
      <c r="C150" s="90"/>
      <c r="D150" s="90"/>
      <c r="E150" s="100">
        <f>570-14.983</f>
        <v>555.017</v>
      </c>
      <c r="F150" s="70"/>
      <c r="G150" s="70"/>
      <c r="H150" s="134"/>
      <c r="I150" s="65">
        <f t="shared" si="37"/>
        <v>555.017</v>
      </c>
      <c r="J150" s="36"/>
      <c r="K150" s="36"/>
      <c r="L150" s="194">
        <v>555.017</v>
      </c>
      <c r="M150" s="36"/>
      <c r="N150" s="36"/>
      <c r="O150" s="38"/>
      <c r="P150" s="39">
        <f t="shared" si="35"/>
        <v>555.017</v>
      </c>
      <c r="Q150" s="44">
        <f t="shared" si="23"/>
        <v>0</v>
      </c>
    </row>
    <row r="151" spans="1:17" ht="27.75" customHeight="1" thickBot="1">
      <c r="A151" s="25"/>
      <c r="B151" s="5" t="s">
        <v>134</v>
      </c>
      <c r="C151" s="33">
        <f aca="true" t="shared" si="40" ref="C151:H151">C17+C51+C53+C61+C77+C83+C79+C81+C85+C88+C105+C132+C136</f>
        <v>152304.79265000002</v>
      </c>
      <c r="D151" s="33">
        <f t="shared" si="40"/>
        <v>429392.7073499999</v>
      </c>
      <c r="E151" s="33">
        <f t="shared" si="40"/>
        <v>142870.05943</v>
      </c>
      <c r="F151" s="33">
        <f t="shared" si="40"/>
        <v>0</v>
      </c>
      <c r="G151" s="33">
        <f t="shared" si="40"/>
        <v>0</v>
      </c>
      <c r="H151" s="33">
        <f t="shared" si="40"/>
        <v>34674.99999999999</v>
      </c>
      <c r="I151" s="34">
        <f t="shared" si="37"/>
        <v>759242.55943</v>
      </c>
      <c r="J151" s="33">
        <f aca="true" t="shared" si="41" ref="J151:O151">J17+J51+J53+J61+J77+J79+J81+J83+J85+J88+J105+J132+J136</f>
        <v>16105.353959999999</v>
      </c>
      <c r="K151" s="33">
        <f t="shared" si="41"/>
        <v>82630.46208</v>
      </c>
      <c r="L151" s="33">
        <f t="shared" si="41"/>
        <v>25660.897119999998</v>
      </c>
      <c r="M151" s="33">
        <f t="shared" si="41"/>
        <v>0</v>
      </c>
      <c r="N151" s="33">
        <f t="shared" si="41"/>
        <v>0</v>
      </c>
      <c r="O151" s="33">
        <f t="shared" si="41"/>
        <v>13459.86089</v>
      </c>
      <c r="P151" s="34">
        <f>SUM(J151:O151)</f>
        <v>137856.57405</v>
      </c>
      <c r="Q151" s="35">
        <f t="shared" si="23"/>
        <v>621385.98538</v>
      </c>
    </row>
    <row r="153" spans="2:8" ht="15.75">
      <c r="B153" s="26" t="s">
        <v>135</v>
      </c>
      <c r="C153" s="27"/>
      <c r="D153" s="27"/>
      <c r="E153" s="27"/>
      <c r="F153" s="28"/>
      <c r="G153" s="28"/>
      <c r="H153" s="28"/>
    </row>
    <row r="154" spans="2:7" ht="15.75">
      <c r="B154" s="29" t="s">
        <v>136</v>
      </c>
      <c r="C154" s="29"/>
      <c r="D154" s="29"/>
      <c r="E154" s="27"/>
      <c r="F154" s="28"/>
      <c r="G154" s="28"/>
    </row>
    <row r="155" spans="2:15" ht="15.75">
      <c r="B155" s="260" t="s">
        <v>137</v>
      </c>
      <c r="C155" s="260"/>
      <c r="D155" s="260"/>
      <c r="E155" s="260"/>
      <c r="F155" s="28"/>
      <c r="G155" s="28"/>
      <c r="M155" s="261" t="s">
        <v>138</v>
      </c>
      <c r="N155" s="261"/>
      <c r="O155" s="261"/>
    </row>
    <row r="156" spans="2:8" ht="15.75">
      <c r="B156" s="30"/>
      <c r="C156" s="27"/>
      <c r="D156" s="27"/>
      <c r="E156" s="27"/>
      <c r="F156" s="28"/>
      <c r="G156" s="28"/>
      <c r="H156" s="31"/>
    </row>
    <row r="157" spans="2:8" ht="15.75">
      <c r="B157" s="26" t="s">
        <v>145</v>
      </c>
      <c r="C157" s="27"/>
      <c r="D157" s="27"/>
      <c r="E157" s="27"/>
      <c r="F157" s="54"/>
      <c r="G157" s="32"/>
      <c r="H157" s="32"/>
    </row>
    <row r="158" spans="2:14" ht="15.75">
      <c r="B158" s="246" t="s">
        <v>146</v>
      </c>
      <c r="C158" s="246"/>
      <c r="D158" s="246"/>
      <c r="E158" s="246"/>
      <c r="F158" s="54"/>
      <c r="G158" s="32"/>
      <c r="M158" s="247" t="s">
        <v>147</v>
      </c>
      <c r="N158" s="247"/>
    </row>
  </sheetData>
  <sheetProtection/>
  <mergeCells count="32">
    <mergeCell ref="G5:I6"/>
    <mergeCell ref="G1:I1"/>
    <mergeCell ref="P14:P16"/>
    <mergeCell ref="Q14:Q16"/>
    <mergeCell ref="G15:G16"/>
    <mergeCell ref="H15:H16"/>
    <mergeCell ref="N15:N16"/>
    <mergeCell ref="O15:O16"/>
    <mergeCell ref="M1:Q1"/>
    <mergeCell ref="M2:Q3"/>
    <mergeCell ref="M6:Q6"/>
    <mergeCell ref="M7:Q8"/>
    <mergeCell ref="C8:E8"/>
    <mergeCell ref="C14:H14"/>
    <mergeCell ref="D15:D16"/>
    <mergeCell ref="A12:Q12"/>
    <mergeCell ref="F15:F16"/>
    <mergeCell ref="J15:J16"/>
    <mergeCell ref="K15:K16"/>
    <mergeCell ref="M15:M16"/>
    <mergeCell ref="A11:Q11"/>
    <mergeCell ref="L15:L16"/>
    <mergeCell ref="B158:E158"/>
    <mergeCell ref="M158:N158"/>
    <mergeCell ref="A14:A16"/>
    <mergeCell ref="B14:B16"/>
    <mergeCell ref="C15:C16"/>
    <mergeCell ref="I14:I16"/>
    <mergeCell ref="J14:O14"/>
    <mergeCell ref="B155:E155"/>
    <mergeCell ref="M155:O155"/>
    <mergeCell ref="E15:E16"/>
  </mergeCells>
  <printOptions/>
  <pageMargins left="0.15748031496062992" right="0.15748031496062992" top="0.2755905511811024" bottom="0.2755905511811024" header="0.2362204724409449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">
      <selection activeCell="C12" sqref="C12"/>
    </sheetView>
  </sheetViews>
  <sheetFormatPr defaultColWidth="9.00390625" defaultRowHeight="12.75"/>
  <cols>
    <col min="1" max="1" width="6.00390625" style="45" customWidth="1"/>
    <col min="2" max="2" width="69.625" style="45" customWidth="1"/>
    <col min="3" max="4" width="18.375" style="45" customWidth="1"/>
    <col min="5" max="5" width="16.75390625" style="45" customWidth="1"/>
    <col min="6" max="6" width="13.875" style="45" customWidth="1"/>
    <col min="7" max="8" width="14.25390625" style="45" customWidth="1"/>
    <col min="9" max="9" width="16.875" style="45" customWidth="1"/>
    <col min="10" max="10" width="12.75390625" style="45" bestFit="1" customWidth="1"/>
    <col min="11" max="11" width="12.875" style="45" bestFit="1" customWidth="1"/>
    <col min="12" max="16384" width="9.125" style="45" customWidth="1"/>
  </cols>
  <sheetData>
    <row r="1" spans="1:6" ht="15.75">
      <c r="A1" s="275"/>
      <c r="B1" s="275"/>
      <c r="C1" s="275"/>
      <c r="D1" s="275"/>
      <c r="E1" s="275"/>
      <c r="F1" s="275"/>
    </row>
    <row r="2" spans="9:11" ht="12.75" customHeight="1">
      <c r="I2" s="271" t="s">
        <v>40</v>
      </c>
      <c r="J2" s="271"/>
      <c r="K2" s="271"/>
    </row>
    <row r="3" spans="9:11" ht="16.5" customHeight="1">
      <c r="I3" s="271"/>
      <c r="J3" s="271"/>
      <c r="K3" s="271"/>
    </row>
    <row r="4" spans="9:11" ht="22.5" customHeight="1">
      <c r="I4" s="271"/>
      <c r="J4" s="271"/>
      <c r="K4" s="271"/>
    </row>
    <row r="5" spans="9:11" ht="22.5" customHeight="1">
      <c r="I5" s="271"/>
      <c r="J5" s="271"/>
      <c r="K5" s="271"/>
    </row>
    <row r="6" spans="9:11" ht="12.75" customHeight="1">
      <c r="I6" s="271"/>
      <c r="J6" s="271"/>
      <c r="K6" s="271"/>
    </row>
    <row r="7" ht="12" customHeight="1"/>
    <row r="8" spans="1:11" ht="31.5" customHeight="1">
      <c r="A8" s="264" t="s">
        <v>148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</row>
    <row r="9" spans="1:6" ht="12" customHeight="1" thickBot="1">
      <c r="A9" s="3"/>
      <c r="B9" s="3"/>
      <c r="C9" s="3"/>
      <c r="D9" s="3"/>
      <c r="E9" s="3"/>
      <c r="F9" s="3"/>
    </row>
    <row r="10" spans="1:11" ht="43.5" customHeight="1" thickBot="1">
      <c r="A10" s="276" t="s">
        <v>44</v>
      </c>
      <c r="B10" s="278" t="s">
        <v>45</v>
      </c>
      <c r="C10" s="280" t="s">
        <v>46</v>
      </c>
      <c r="D10" s="281"/>
      <c r="E10" s="281"/>
      <c r="F10" s="282" t="s">
        <v>47</v>
      </c>
      <c r="G10" s="280" t="s">
        <v>139</v>
      </c>
      <c r="H10" s="281"/>
      <c r="I10" s="281"/>
      <c r="J10" s="282" t="s">
        <v>47</v>
      </c>
      <c r="K10" s="284" t="s">
        <v>144</v>
      </c>
    </row>
    <row r="11" spans="1:11" ht="66" customHeight="1" thickBot="1">
      <c r="A11" s="277"/>
      <c r="B11" s="279"/>
      <c r="C11" s="47" t="s">
        <v>49</v>
      </c>
      <c r="D11" s="46" t="s">
        <v>149</v>
      </c>
      <c r="E11" s="46" t="s">
        <v>150</v>
      </c>
      <c r="F11" s="283"/>
      <c r="G11" s="47" t="s">
        <v>49</v>
      </c>
      <c r="H11" s="46" t="s">
        <v>149</v>
      </c>
      <c r="I11" s="46" t="s">
        <v>150</v>
      </c>
      <c r="J11" s="283"/>
      <c r="K11" s="285"/>
    </row>
    <row r="12" spans="1:11" ht="42.75" customHeight="1">
      <c r="A12" s="48" t="s">
        <v>53</v>
      </c>
      <c r="B12" s="58" t="s">
        <v>259</v>
      </c>
      <c r="C12" s="165">
        <v>2640.8</v>
      </c>
      <c r="D12" s="165">
        <v>300.09096</v>
      </c>
      <c r="E12" s="165">
        <v>60</v>
      </c>
      <c r="F12" s="166">
        <f>C12+E12+D12</f>
        <v>3000.89096</v>
      </c>
      <c r="G12" s="165">
        <v>0</v>
      </c>
      <c r="H12" s="165">
        <v>0</v>
      </c>
      <c r="I12" s="165">
        <v>0</v>
      </c>
      <c r="J12" s="166">
        <f>G12+I12+H12</f>
        <v>0</v>
      </c>
      <c r="K12" s="167">
        <f aca="true" t="shared" si="0" ref="K12:K18">F12-J12</f>
        <v>3000.89096</v>
      </c>
    </row>
    <row r="13" spans="1:11" ht="48" customHeight="1">
      <c r="A13" s="48" t="s">
        <v>66</v>
      </c>
      <c r="B13" s="59" t="s">
        <v>154</v>
      </c>
      <c r="C13" s="165">
        <v>2628</v>
      </c>
      <c r="D13" s="165">
        <v>291.97631</v>
      </c>
      <c r="E13" s="165">
        <v>0</v>
      </c>
      <c r="F13" s="166">
        <f aca="true" t="shared" si="1" ref="F13:F18">C13+E13+D13</f>
        <v>2919.97631</v>
      </c>
      <c r="G13" s="168">
        <v>0</v>
      </c>
      <c r="H13" s="169">
        <v>0</v>
      </c>
      <c r="I13" s="169">
        <v>0</v>
      </c>
      <c r="J13" s="166">
        <f aca="true" t="shared" si="2" ref="J13:J18">G13+I13+H13</f>
        <v>0</v>
      </c>
      <c r="K13" s="167">
        <f t="shared" si="0"/>
        <v>2919.97631</v>
      </c>
    </row>
    <row r="14" spans="1:11" ht="37.5" customHeight="1">
      <c r="A14" s="48" t="s">
        <v>69</v>
      </c>
      <c r="B14" s="59" t="s">
        <v>151</v>
      </c>
      <c r="C14" s="165">
        <v>2766.1</v>
      </c>
      <c r="D14" s="165">
        <v>307.313</v>
      </c>
      <c r="E14" s="165">
        <v>0</v>
      </c>
      <c r="F14" s="166">
        <f t="shared" si="1"/>
        <v>3073.413</v>
      </c>
      <c r="G14" s="170">
        <v>0</v>
      </c>
      <c r="H14" s="171">
        <v>0</v>
      </c>
      <c r="I14" s="172">
        <v>0</v>
      </c>
      <c r="J14" s="166">
        <f t="shared" si="2"/>
        <v>0</v>
      </c>
      <c r="K14" s="167">
        <f t="shared" si="0"/>
        <v>3073.413</v>
      </c>
    </row>
    <row r="15" spans="1:11" ht="36.75" customHeight="1">
      <c r="A15" s="48" t="s">
        <v>73</v>
      </c>
      <c r="B15" s="59" t="s">
        <v>258</v>
      </c>
      <c r="C15" s="165">
        <v>3000</v>
      </c>
      <c r="D15" s="165">
        <v>988.27954</v>
      </c>
      <c r="E15" s="165">
        <v>0</v>
      </c>
      <c r="F15" s="166">
        <f t="shared" si="1"/>
        <v>3988.27954</v>
      </c>
      <c r="G15" s="173">
        <v>0</v>
      </c>
      <c r="H15" s="174">
        <v>0</v>
      </c>
      <c r="I15" s="172">
        <v>0</v>
      </c>
      <c r="J15" s="166">
        <f t="shared" si="2"/>
        <v>0</v>
      </c>
      <c r="K15" s="167">
        <f t="shared" si="0"/>
        <v>3988.27954</v>
      </c>
    </row>
    <row r="16" spans="1:11" ht="34.5" customHeight="1">
      <c r="A16" s="48" t="s">
        <v>80</v>
      </c>
      <c r="B16" s="59" t="s">
        <v>155</v>
      </c>
      <c r="C16" s="165">
        <v>2208.4</v>
      </c>
      <c r="D16" s="165">
        <v>250.97707</v>
      </c>
      <c r="E16" s="165">
        <v>50</v>
      </c>
      <c r="F16" s="166">
        <f t="shared" si="1"/>
        <v>2509.37707</v>
      </c>
      <c r="G16" s="173">
        <v>0</v>
      </c>
      <c r="H16" s="174">
        <v>0</v>
      </c>
      <c r="I16" s="172">
        <v>0</v>
      </c>
      <c r="J16" s="166">
        <f t="shared" si="2"/>
        <v>0</v>
      </c>
      <c r="K16" s="167">
        <f t="shared" si="0"/>
        <v>2509.37707</v>
      </c>
    </row>
    <row r="17" spans="1:11" ht="38.25" customHeight="1">
      <c r="A17" s="48" t="s">
        <v>83</v>
      </c>
      <c r="B17" s="59" t="s">
        <v>152</v>
      </c>
      <c r="C17" s="165">
        <v>2647.5</v>
      </c>
      <c r="D17" s="165">
        <v>294.15805</v>
      </c>
      <c r="E17" s="165">
        <v>0</v>
      </c>
      <c r="F17" s="166">
        <f t="shared" si="1"/>
        <v>2941.65805</v>
      </c>
      <c r="G17" s="173">
        <v>0</v>
      </c>
      <c r="H17" s="174">
        <v>0</v>
      </c>
      <c r="I17" s="172">
        <v>0</v>
      </c>
      <c r="J17" s="166">
        <f t="shared" si="2"/>
        <v>0</v>
      </c>
      <c r="K17" s="167">
        <f t="shared" si="0"/>
        <v>2941.65805</v>
      </c>
    </row>
    <row r="18" spans="1:11" ht="45.75" customHeight="1" thickBot="1">
      <c r="A18" s="48" t="s">
        <v>86</v>
      </c>
      <c r="B18" s="60" t="s">
        <v>153</v>
      </c>
      <c r="C18" s="165">
        <v>2109.2</v>
      </c>
      <c r="D18" s="165">
        <v>535.48298</v>
      </c>
      <c r="E18" s="165">
        <v>80</v>
      </c>
      <c r="F18" s="166">
        <f t="shared" si="1"/>
        <v>2724.6829799999996</v>
      </c>
      <c r="G18" s="175">
        <v>0</v>
      </c>
      <c r="H18" s="176">
        <v>0</v>
      </c>
      <c r="I18" s="177">
        <v>0</v>
      </c>
      <c r="J18" s="166">
        <f t="shared" si="2"/>
        <v>0</v>
      </c>
      <c r="K18" s="167">
        <f t="shared" si="0"/>
        <v>2724.6829799999996</v>
      </c>
    </row>
    <row r="19" spans="1:11" ht="23.25" customHeight="1" thickBot="1">
      <c r="A19" s="49"/>
      <c r="B19" s="50" t="s">
        <v>156</v>
      </c>
      <c r="C19" s="178">
        <f>SUM(C12:C18)</f>
        <v>18000</v>
      </c>
      <c r="D19" s="178">
        <f>SUM(D12:D18)</f>
        <v>2968.27791</v>
      </c>
      <c r="E19" s="179">
        <f>SUM(E12:E18)</f>
        <v>190</v>
      </c>
      <c r="F19" s="180">
        <f>SUM(C19:E19)</f>
        <v>21158.27791</v>
      </c>
      <c r="G19" s="178">
        <f>SUM(G12:G18)</f>
        <v>0</v>
      </c>
      <c r="H19" s="178">
        <f>SUM(H12:H18)</f>
        <v>0</v>
      </c>
      <c r="I19" s="179">
        <f>SUM(I12:I18)</f>
        <v>0</v>
      </c>
      <c r="J19" s="180">
        <f>SUM(G19:I19)</f>
        <v>0</v>
      </c>
      <c r="K19" s="181">
        <f>SUM(K12:K18)</f>
        <v>21158.277909999997</v>
      </c>
    </row>
    <row r="20" spans="1:6" s="53" customFormat="1" ht="13.5" customHeight="1">
      <c r="A20" s="51"/>
      <c r="B20" s="52"/>
      <c r="C20" s="52"/>
      <c r="D20" s="52"/>
      <c r="E20" s="52"/>
      <c r="F20" s="52"/>
    </row>
    <row r="21" spans="1:9" ht="27" customHeight="1">
      <c r="A21" s="26" t="s">
        <v>135</v>
      </c>
      <c r="B21" s="27"/>
      <c r="C21" s="27"/>
      <c r="D21" s="27"/>
      <c r="E21" s="27"/>
      <c r="F21" s="28"/>
      <c r="G21" s="28"/>
      <c r="H21" s="28"/>
      <c r="I21" s="28"/>
    </row>
    <row r="22" spans="1:8" ht="15.75">
      <c r="A22" s="29" t="s">
        <v>136</v>
      </c>
      <c r="B22" s="29"/>
      <c r="C22" s="29"/>
      <c r="D22" s="29"/>
      <c r="E22" s="27"/>
      <c r="F22" s="28"/>
      <c r="G22" s="28"/>
      <c r="H22" s="28"/>
    </row>
    <row r="23" spans="1:11" ht="15.75">
      <c r="A23" s="260" t="s">
        <v>137</v>
      </c>
      <c r="B23" s="260"/>
      <c r="C23" s="260"/>
      <c r="D23" s="260"/>
      <c r="E23" s="260"/>
      <c r="F23" s="28"/>
      <c r="G23" s="28"/>
      <c r="H23" s="28"/>
      <c r="I23" s="261" t="s">
        <v>138</v>
      </c>
      <c r="J23" s="261"/>
      <c r="K23" s="261"/>
    </row>
    <row r="24" spans="1:8" ht="15.75">
      <c r="A24" s="30"/>
      <c r="B24" s="27"/>
      <c r="C24" s="27"/>
      <c r="D24" s="27"/>
      <c r="E24" s="27"/>
      <c r="F24" s="28"/>
      <c r="G24" s="28"/>
      <c r="H24" s="28"/>
    </row>
    <row r="25" spans="1:8" ht="15.75">
      <c r="A25" s="26" t="s">
        <v>145</v>
      </c>
      <c r="B25" s="27"/>
      <c r="C25" s="27"/>
      <c r="D25" s="27"/>
      <c r="E25" s="27"/>
      <c r="F25" s="54"/>
      <c r="G25" s="32"/>
      <c r="H25" s="32"/>
    </row>
    <row r="26" spans="1:11" ht="13.5" customHeight="1">
      <c r="A26" s="246" t="s">
        <v>146</v>
      </c>
      <c r="B26" s="246"/>
      <c r="C26" s="246"/>
      <c r="D26" s="246"/>
      <c r="E26" s="246"/>
      <c r="F26" s="54"/>
      <c r="G26" s="32"/>
      <c r="H26" s="32"/>
      <c r="I26" s="247" t="s">
        <v>147</v>
      </c>
      <c r="J26" s="247"/>
      <c r="K26" s="190" t="s">
        <v>269</v>
      </c>
    </row>
    <row r="27" ht="12.75"/>
    <row r="28" spans="2:6" ht="15.75">
      <c r="B28" s="26"/>
      <c r="C28" s="26"/>
      <c r="D28" s="26"/>
      <c r="E28" s="26"/>
      <c r="F28" s="26"/>
    </row>
    <row r="29" spans="2:6" ht="15.75">
      <c r="B29" s="246"/>
      <c r="C29" s="246"/>
      <c r="D29" s="246"/>
      <c r="E29" s="246"/>
      <c r="F29" s="246"/>
    </row>
    <row r="38" spans="3:5" ht="15.75">
      <c r="C38" s="55"/>
      <c r="D38" s="55"/>
      <c r="E38" s="56"/>
    </row>
    <row r="39" spans="3:5" ht="15.75">
      <c r="C39" s="55"/>
      <c r="D39" s="55"/>
      <c r="E39" s="56"/>
    </row>
    <row r="40" spans="3:5" ht="15.75">
      <c r="C40" s="55"/>
      <c r="D40" s="55"/>
      <c r="E40" s="56"/>
    </row>
    <row r="41" spans="3:5" ht="15.75">
      <c r="C41" s="55"/>
      <c r="D41" s="55"/>
      <c r="E41" s="56"/>
    </row>
    <row r="42" spans="3:5" ht="15.75">
      <c r="C42" s="55"/>
      <c r="D42" s="55"/>
      <c r="E42" s="56"/>
    </row>
    <row r="43" spans="3:5" ht="15.75">
      <c r="C43" s="55"/>
      <c r="D43" s="55"/>
      <c r="E43" s="56"/>
    </row>
    <row r="44" spans="3:5" ht="15.75">
      <c r="C44" s="55"/>
      <c r="D44" s="55"/>
      <c r="E44" s="56"/>
    </row>
    <row r="45" spans="3:5" ht="15.75">
      <c r="C45" s="55"/>
      <c r="D45" s="55"/>
      <c r="E45" s="56"/>
    </row>
    <row r="46" ht="15.75">
      <c r="E46" s="56"/>
    </row>
    <row r="47" ht="15.75">
      <c r="E47" s="57"/>
    </row>
  </sheetData>
  <sheetProtection/>
  <mergeCells count="15">
    <mergeCell ref="K10:K11"/>
    <mergeCell ref="A23:E23"/>
    <mergeCell ref="I23:K23"/>
    <mergeCell ref="A26:E26"/>
    <mergeCell ref="I26:J26"/>
    <mergeCell ref="B29:F29"/>
    <mergeCell ref="A1:F1"/>
    <mergeCell ref="I2:K6"/>
    <mergeCell ref="A8:K8"/>
    <mergeCell ref="A10:A11"/>
    <mergeCell ref="B10:B11"/>
    <mergeCell ref="C10:E10"/>
    <mergeCell ref="F10:F11"/>
    <mergeCell ref="G10:I10"/>
    <mergeCell ref="J10:J1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МунСовет</cp:lastModifiedBy>
  <cp:lastPrinted>2024-05-27T06:50:02Z</cp:lastPrinted>
  <dcterms:created xsi:type="dcterms:W3CDTF">2011-01-18T12:06:27Z</dcterms:created>
  <dcterms:modified xsi:type="dcterms:W3CDTF">2024-06-03T06:18:59Z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1049-12.2.0.13412</vt:lpwstr>
  </property>
  <property fmtid="{D5CDD505-2E9C-101B-9397-08002B2CF9AE}" pid="3" name="ICV">
    <vt:lpwstr>90732BB9FEC546A1A5E2D9D2343B1AA9</vt:lpwstr>
  </property>
</Properties>
</file>